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ive\OneDrive\Documentos\"/>
    </mc:Choice>
  </mc:AlternateContent>
  <bookViews>
    <workbookView xWindow="0" yWindow="0" windowWidth="20490" windowHeight="7755" firstSheet="27" activeTab="15"/>
  </bookViews>
  <sheets>
    <sheet name="Tabla N 1" sheetId="1" r:id="rId1"/>
    <sheet name="Tabla N 2" sheetId="2" r:id="rId2"/>
    <sheet name="Tabla N 3" sheetId="3" r:id="rId3"/>
    <sheet name="Tabla N 4" sheetId="10" r:id="rId4"/>
    <sheet name="Tabla N 5" sheetId="7" r:id="rId5"/>
    <sheet name="Tabla N° 6" sheetId="9" r:id="rId6"/>
    <sheet name="Tabla N 7" sheetId="4" r:id="rId7"/>
    <sheet name="Tabla N 8" sheetId="5" r:id="rId8"/>
    <sheet name="Tabla N 9" sheetId="6" r:id="rId9"/>
    <sheet name="Tabla N 10" sheetId="8" r:id="rId10"/>
    <sheet name="Tabla N 11" sheetId="11" r:id="rId11"/>
    <sheet name="Tabla N 12" sheetId="12" r:id="rId12"/>
    <sheet name="Tabla N 13" sheetId="14" r:id="rId13"/>
    <sheet name="Tabla N 14" sheetId="15" r:id="rId14"/>
    <sheet name="Tabla N 15" sheetId="16" r:id="rId15"/>
    <sheet name="Tabla N 16" sheetId="13" r:id="rId16"/>
    <sheet name="Tabla N 17" sheetId="17" r:id="rId17"/>
    <sheet name="Tabla N 18" sheetId="18" r:id="rId18"/>
    <sheet name="Tabla N 19" sheetId="19" r:id="rId19"/>
    <sheet name="Tabla N° 20" sheetId="20" r:id="rId20"/>
    <sheet name="Tabla N 21" sheetId="21" r:id="rId21"/>
    <sheet name="Tabla N° 22" sheetId="22" r:id="rId22"/>
    <sheet name="Tabla N 23" sheetId="23" r:id="rId23"/>
    <sheet name="Tabla N 24" sheetId="24" r:id="rId24"/>
    <sheet name="Tabla N 25" sheetId="25" r:id="rId25"/>
    <sheet name="Tabla N 26" sheetId="26" r:id="rId26"/>
    <sheet name="Tabla N 27" sheetId="27" r:id="rId27"/>
    <sheet name="Tabla N 28" sheetId="28" r:id="rId28"/>
    <sheet name="Tabla N 29" sheetId="29" r:id="rId29"/>
    <sheet name="Tabla N 30" sheetId="30" r:id="rId30"/>
    <sheet name="Tabla N° 31" sheetId="31" r:id="rId31"/>
    <sheet name="Tabla N° 32" sheetId="32" r:id="rId32"/>
    <sheet name="Tabla N° 33" sheetId="33" r:id="rId33"/>
    <sheet name="Tabla N° 34" sheetId="34" r:id="rId3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2" l="1"/>
  <c r="G5" i="32"/>
  <c r="G4" i="32"/>
  <c r="G3" i="32"/>
  <c r="F16" i="31"/>
  <c r="F15" i="31"/>
  <c r="F14" i="31"/>
  <c r="F17" i="31" s="1"/>
  <c r="F12" i="31"/>
  <c r="F11" i="31"/>
  <c r="F10" i="31"/>
  <c r="F13" i="31" s="1"/>
  <c r="F8" i="31"/>
  <c r="F7" i="31"/>
  <c r="F6" i="31"/>
  <c r="F9" i="31" s="1"/>
  <c r="F4" i="31"/>
  <c r="F3" i="31"/>
  <c r="F2" i="31"/>
  <c r="F5" i="31" s="1"/>
  <c r="G7" i="30"/>
  <c r="G6" i="30"/>
  <c r="G5" i="30"/>
  <c r="G8" i="30" s="1"/>
  <c r="E7" i="29"/>
  <c r="D7" i="29"/>
  <c r="G7" i="29" s="1"/>
  <c r="C7" i="29"/>
  <c r="F7" i="29" s="1"/>
  <c r="B7" i="29"/>
  <c r="H6" i="29"/>
  <c r="G6" i="29"/>
  <c r="F6" i="29"/>
  <c r="H5" i="29"/>
  <c r="G5" i="29"/>
  <c r="F5" i="29"/>
  <c r="H4" i="29"/>
  <c r="G4" i="29"/>
  <c r="F4" i="29"/>
  <c r="H3" i="29"/>
  <c r="H7" i="29" s="1"/>
  <c r="G3" i="29"/>
  <c r="F3" i="29"/>
  <c r="E15" i="28" l="1"/>
  <c r="D15" i="28"/>
  <c r="C15" i="28"/>
  <c r="B15" i="28"/>
  <c r="D14" i="28"/>
  <c r="D13" i="28"/>
  <c r="D12" i="28"/>
  <c r="F11" i="28"/>
  <c r="F15" i="28" s="1"/>
  <c r="D11" i="28"/>
  <c r="G10" i="28"/>
  <c r="F10" i="28"/>
  <c r="D10" i="28"/>
  <c r="F9" i="28"/>
  <c r="G9" i="28" s="1"/>
  <c r="D9" i="28"/>
  <c r="G8" i="28"/>
  <c r="D8" i="28"/>
  <c r="G7" i="28"/>
  <c r="D7" i="28"/>
  <c r="G6" i="28"/>
  <c r="D6" i="28"/>
  <c r="G5" i="28"/>
  <c r="D5" i="28"/>
  <c r="G4" i="28"/>
  <c r="D4" i="28"/>
  <c r="G3" i="28"/>
  <c r="D3" i="28"/>
  <c r="O26" i="27"/>
  <c r="N26" i="27"/>
  <c r="M26" i="27"/>
  <c r="L26" i="27"/>
  <c r="L27" i="27" s="1"/>
  <c r="K26" i="27"/>
  <c r="K27" i="27" s="1"/>
  <c r="J26" i="27"/>
  <c r="J27" i="27" s="1"/>
  <c r="I26" i="27"/>
  <c r="I27" i="27" s="1"/>
  <c r="H26" i="27"/>
  <c r="G26" i="27"/>
  <c r="F26" i="27"/>
  <c r="E26" i="27"/>
  <c r="D26" i="27"/>
  <c r="D27" i="27" s="1"/>
  <c r="P25" i="27"/>
  <c r="P24" i="27"/>
  <c r="P23" i="27"/>
  <c r="P22" i="27"/>
  <c r="N21" i="27"/>
  <c r="M21" i="27"/>
  <c r="L21" i="27"/>
  <c r="J21" i="27"/>
  <c r="I21" i="27"/>
  <c r="H21" i="27"/>
  <c r="H27" i="27" s="1"/>
  <c r="G21" i="27"/>
  <c r="F21" i="27"/>
  <c r="E21" i="27"/>
  <c r="P21" i="27" s="1"/>
  <c r="D20" i="27"/>
  <c r="P20" i="27" s="1"/>
  <c r="D19" i="27"/>
  <c r="P19" i="27" s="1"/>
  <c r="P18" i="27"/>
  <c r="D18" i="27"/>
  <c r="D17" i="27"/>
  <c r="P17" i="27" s="1"/>
  <c r="O16" i="27"/>
  <c r="O27" i="27" s="1"/>
  <c r="N16" i="27"/>
  <c r="N27" i="27" s="1"/>
  <c r="M16" i="27"/>
  <c r="M27" i="27" s="1"/>
  <c r="L16" i="27"/>
  <c r="K16" i="27"/>
  <c r="J16" i="27"/>
  <c r="I16" i="27"/>
  <c r="H16" i="27"/>
  <c r="G16" i="27"/>
  <c r="G27" i="27" s="1"/>
  <c r="F16" i="27"/>
  <c r="F27" i="27" s="1"/>
  <c r="E16" i="27"/>
  <c r="E27" i="27" s="1"/>
  <c r="D16" i="27"/>
  <c r="P16" i="27" s="1"/>
  <c r="P15" i="27"/>
  <c r="P14" i="27"/>
  <c r="P13" i="27"/>
  <c r="P12" i="27"/>
  <c r="O11" i="27"/>
  <c r="N11" i="27"/>
  <c r="M11" i="27"/>
  <c r="L11" i="27"/>
  <c r="K11" i="27"/>
  <c r="J11" i="27"/>
  <c r="I11" i="27"/>
  <c r="H11" i="27"/>
  <c r="G11" i="27"/>
  <c r="F11" i="27"/>
  <c r="E11" i="27"/>
  <c r="P11" i="27" s="1"/>
  <c r="D11" i="27"/>
  <c r="P10" i="27"/>
  <c r="P9" i="27"/>
  <c r="P8" i="27"/>
  <c r="P7" i="27"/>
  <c r="O6" i="27"/>
  <c r="N6" i="27"/>
  <c r="M6" i="27"/>
  <c r="L6" i="27"/>
  <c r="K6" i="27"/>
  <c r="J6" i="27"/>
  <c r="I6" i="27"/>
  <c r="H6" i="27"/>
  <c r="G6" i="27"/>
  <c r="F6" i="27"/>
  <c r="P6" i="27" s="1"/>
  <c r="E6" i="27"/>
  <c r="D6" i="27"/>
  <c r="P5" i="27"/>
  <c r="P4" i="27"/>
  <c r="P3" i="27"/>
  <c r="P2" i="27"/>
  <c r="O26" i="26"/>
  <c r="O27" i="26" s="1"/>
  <c r="N26" i="26"/>
  <c r="N27" i="26" s="1"/>
  <c r="M26" i="26"/>
  <c r="M27" i="26" s="1"/>
  <c r="L26" i="26"/>
  <c r="L27" i="26" s="1"/>
  <c r="K26" i="26"/>
  <c r="J26" i="26"/>
  <c r="H26" i="26"/>
  <c r="G26" i="26"/>
  <c r="G27" i="26" s="1"/>
  <c r="F26" i="26"/>
  <c r="F27" i="26" s="1"/>
  <c r="D26" i="26"/>
  <c r="D27" i="26" s="1"/>
  <c r="P25" i="26"/>
  <c r="I25" i="26"/>
  <c r="I24" i="26"/>
  <c r="P24" i="26" s="1"/>
  <c r="I23" i="26"/>
  <c r="P23" i="26" s="1"/>
  <c r="I22" i="26"/>
  <c r="I26" i="26" s="1"/>
  <c r="I27" i="26" s="1"/>
  <c r="N21" i="26"/>
  <c r="M21" i="26"/>
  <c r="L21" i="26"/>
  <c r="K21" i="26"/>
  <c r="J21" i="26"/>
  <c r="I21" i="26"/>
  <c r="H21" i="26"/>
  <c r="H27" i="26" s="1"/>
  <c r="G21" i="26"/>
  <c r="P21" i="26" s="1"/>
  <c r="D21" i="26"/>
  <c r="P20" i="26"/>
  <c r="P19" i="26"/>
  <c r="P18" i="26"/>
  <c r="P17" i="26"/>
  <c r="O16" i="26"/>
  <c r="N16" i="26"/>
  <c r="M16" i="26"/>
  <c r="L16" i="26"/>
  <c r="K16" i="26"/>
  <c r="J16" i="26"/>
  <c r="I16" i="26"/>
  <c r="H16" i="26"/>
  <c r="G16" i="26"/>
  <c r="P16" i="26" s="1"/>
  <c r="F16" i="26"/>
  <c r="E16" i="26"/>
  <c r="D16" i="26"/>
  <c r="P15" i="26"/>
  <c r="P14" i="26"/>
  <c r="P13" i="26"/>
  <c r="P12" i="26"/>
  <c r="O11" i="26"/>
  <c r="N11" i="26"/>
  <c r="M11" i="26"/>
  <c r="L11" i="26"/>
  <c r="K11" i="26"/>
  <c r="J11" i="26"/>
  <c r="I11" i="26"/>
  <c r="H11" i="26"/>
  <c r="P11" i="26" s="1"/>
  <c r="G11" i="26"/>
  <c r="F11" i="26"/>
  <c r="E11" i="26"/>
  <c r="D11" i="26"/>
  <c r="P10" i="26"/>
  <c r="P9" i="26"/>
  <c r="P8" i="26"/>
  <c r="P7" i="26"/>
  <c r="O6" i="26"/>
  <c r="N6" i="26"/>
  <c r="M6" i="26"/>
  <c r="L6" i="26"/>
  <c r="K6" i="26"/>
  <c r="K27" i="26" s="1"/>
  <c r="J6" i="26"/>
  <c r="J27" i="26" s="1"/>
  <c r="I6" i="26"/>
  <c r="H6" i="26"/>
  <c r="P6" i="26" s="1"/>
  <c r="G6" i="26"/>
  <c r="F6" i="26"/>
  <c r="E6" i="26"/>
  <c r="E27" i="26" s="1"/>
  <c r="D6" i="26"/>
  <c r="I5" i="26"/>
  <c r="P5" i="26" s="1"/>
  <c r="P4" i="26"/>
  <c r="I4" i="26"/>
  <c r="I3" i="26"/>
  <c r="P3" i="26" s="1"/>
  <c r="I2" i="26"/>
  <c r="P2" i="26" s="1"/>
  <c r="M31" i="25"/>
  <c r="L31" i="25"/>
  <c r="I31" i="25"/>
  <c r="D31" i="25"/>
  <c r="O30" i="25"/>
  <c r="O31" i="25" s="1"/>
  <c r="N30" i="25"/>
  <c r="N31" i="25" s="1"/>
  <c r="M30" i="25"/>
  <c r="L30" i="25"/>
  <c r="K30" i="25"/>
  <c r="J30" i="25"/>
  <c r="J31" i="25" s="1"/>
  <c r="I30" i="25"/>
  <c r="H30" i="25"/>
  <c r="H31" i="25" s="1"/>
  <c r="G30" i="25"/>
  <c r="G31" i="25" s="1"/>
  <c r="F30" i="25"/>
  <c r="F31" i="25" s="1"/>
  <c r="E30" i="25"/>
  <c r="D30" i="25"/>
  <c r="P29" i="25"/>
  <c r="P28" i="25"/>
  <c r="P27" i="25"/>
  <c r="P26" i="25"/>
  <c r="P25" i="25"/>
  <c r="P24" i="25"/>
  <c r="P23" i="25"/>
  <c r="P22" i="25"/>
  <c r="O21" i="25"/>
  <c r="N21" i="25"/>
  <c r="K21" i="25"/>
  <c r="K31" i="25" s="1"/>
  <c r="J21" i="25"/>
  <c r="E21" i="25"/>
  <c r="E31" i="25" s="1"/>
  <c r="D21" i="25"/>
  <c r="P21" i="25" s="1"/>
  <c r="P20" i="25"/>
  <c r="P19" i="25"/>
  <c r="P18" i="25"/>
  <c r="P17" i="25"/>
  <c r="O16" i="25"/>
  <c r="N16" i="25"/>
  <c r="M16" i="25"/>
  <c r="L16" i="25"/>
  <c r="K16" i="25"/>
  <c r="J16" i="25"/>
  <c r="I16" i="25"/>
  <c r="H16" i="25"/>
  <c r="G16" i="25"/>
  <c r="F16" i="25"/>
  <c r="P16" i="25" s="1"/>
  <c r="E16" i="25"/>
  <c r="D16" i="25"/>
  <c r="P15" i="25"/>
  <c r="P14" i="25"/>
  <c r="P13" i="25"/>
  <c r="P12" i="25"/>
  <c r="O11" i="25"/>
  <c r="N11" i="25"/>
  <c r="M11" i="25"/>
  <c r="L11" i="25"/>
  <c r="K11" i="25"/>
  <c r="J11" i="25"/>
  <c r="I11" i="25"/>
  <c r="H11" i="25"/>
  <c r="G11" i="25"/>
  <c r="P11" i="25" s="1"/>
  <c r="F11" i="25"/>
  <c r="E11" i="25"/>
  <c r="D11" i="25"/>
  <c r="P10" i="25"/>
  <c r="P9" i="25"/>
  <c r="P8" i="25"/>
  <c r="P7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P5" i="25"/>
  <c r="P4" i="25"/>
  <c r="P3" i="25"/>
  <c r="P2" i="25"/>
  <c r="O38" i="24"/>
  <c r="N38" i="24"/>
  <c r="M38" i="24"/>
  <c r="L38" i="24"/>
  <c r="K38" i="24"/>
  <c r="J38" i="24"/>
  <c r="I38" i="24"/>
  <c r="H38" i="24"/>
  <c r="P37" i="24"/>
  <c r="P36" i="24"/>
  <c r="P35" i="24"/>
  <c r="P34" i="24"/>
  <c r="P38" i="24" s="1"/>
  <c r="P33" i="24"/>
  <c r="P32" i="24"/>
  <c r="P31" i="24"/>
  <c r="P30" i="24"/>
  <c r="O29" i="24"/>
  <c r="N29" i="24"/>
  <c r="N39" i="24" s="1"/>
  <c r="M29" i="24"/>
  <c r="M39" i="24" s="1"/>
  <c r="L29" i="24"/>
  <c r="L39" i="24" s="1"/>
  <c r="K29" i="24"/>
  <c r="K39" i="24" s="1"/>
  <c r="J29" i="24"/>
  <c r="J39" i="24" s="1"/>
  <c r="I29" i="24"/>
  <c r="I39" i="24" s="1"/>
  <c r="F29" i="24"/>
  <c r="F39" i="24" s="1"/>
  <c r="E29" i="24"/>
  <c r="E39" i="24" s="1"/>
  <c r="D29" i="24"/>
  <c r="D39" i="24" s="1"/>
  <c r="P28" i="24"/>
  <c r="P27" i="24"/>
  <c r="P26" i="24"/>
  <c r="P25" i="24"/>
  <c r="P29" i="24" s="1"/>
  <c r="O24" i="24"/>
  <c r="N24" i="24"/>
  <c r="M24" i="24"/>
  <c r="L24" i="24"/>
  <c r="K24" i="24"/>
  <c r="J24" i="24"/>
  <c r="I24" i="24"/>
  <c r="H24" i="24"/>
  <c r="G24" i="24"/>
  <c r="F24" i="24"/>
  <c r="E24" i="24"/>
  <c r="D24" i="24"/>
  <c r="P24" i="24" s="1"/>
  <c r="P23" i="24"/>
  <c r="P22" i="24"/>
  <c r="P21" i="24"/>
  <c r="P20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P19" i="24" s="1"/>
  <c r="P18" i="24"/>
  <c r="P17" i="24"/>
  <c r="P16" i="24"/>
  <c r="P15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P14" i="24" s="1"/>
  <c r="P13" i="24"/>
  <c r="P12" i="24"/>
  <c r="P11" i="24"/>
  <c r="P10" i="24"/>
  <c r="P9" i="24"/>
  <c r="P8" i="24"/>
  <c r="P7" i="24"/>
  <c r="P6" i="24"/>
  <c r="P5" i="24"/>
  <c r="P4" i="24"/>
  <c r="P3" i="24"/>
  <c r="P2" i="24"/>
  <c r="G15" i="28" l="1"/>
  <c r="E16" i="28" s="1"/>
  <c r="G11" i="28"/>
  <c r="P27" i="27"/>
  <c r="P26" i="27"/>
  <c r="P27" i="26"/>
  <c r="P22" i="26"/>
  <c r="P31" i="25"/>
  <c r="P30" i="25"/>
  <c r="P39" i="24"/>
  <c r="B6" i="22" l="1"/>
  <c r="I58" i="21"/>
  <c r="H58" i="21"/>
  <c r="D58" i="21"/>
  <c r="E57" i="21"/>
  <c r="D57" i="21"/>
  <c r="G56" i="21"/>
  <c r="E56" i="21"/>
  <c r="D56" i="21"/>
  <c r="G55" i="21"/>
  <c r="F55" i="21"/>
  <c r="E55" i="21"/>
  <c r="D55" i="21"/>
  <c r="G54" i="21"/>
  <c r="F54" i="21"/>
  <c r="E54" i="21"/>
  <c r="D54" i="21"/>
  <c r="G53" i="21"/>
  <c r="G58" i="21" s="1"/>
  <c r="F53" i="21"/>
  <c r="F58" i="21" s="1"/>
  <c r="E53" i="21"/>
  <c r="E58" i="21" s="1"/>
  <c r="D53" i="21"/>
  <c r="I52" i="21"/>
  <c r="H52" i="21"/>
  <c r="G52" i="21"/>
  <c r="E51" i="21"/>
  <c r="D51" i="21"/>
  <c r="G50" i="21"/>
  <c r="E50" i="21"/>
  <c r="D50" i="21"/>
  <c r="G49" i="21"/>
  <c r="F49" i="21"/>
  <c r="E49" i="21"/>
  <c r="D49" i="21"/>
  <c r="G48" i="21"/>
  <c r="F48" i="21"/>
  <c r="E48" i="21"/>
  <c r="D48" i="21"/>
  <c r="G47" i="21"/>
  <c r="F47" i="21"/>
  <c r="F52" i="21" s="1"/>
  <c r="E47" i="21"/>
  <c r="E52" i="21" s="1"/>
  <c r="D47" i="21"/>
  <c r="D52" i="21" s="1"/>
  <c r="I46" i="21"/>
  <c r="H46" i="21"/>
  <c r="F46" i="21"/>
  <c r="E45" i="21"/>
  <c r="D45" i="21"/>
  <c r="G44" i="21"/>
  <c r="E44" i="21"/>
  <c r="D44" i="21"/>
  <c r="G43" i="21"/>
  <c r="F43" i="21"/>
  <c r="E43" i="21"/>
  <c r="D43" i="21"/>
  <c r="G42" i="21"/>
  <c r="F42" i="21"/>
  <c r="E42" i="21"/>
  <c r="D42" i="21"/>
  <c r="G41" i="21"/>
  <c r="G46" i="21" s="1"/>
  <c r="F41" i="21"/>
  <c r="E41" i="21"/>
  <c r="E46" i="21" s="1"/>
  <c r="D41" i="21"/>
  <c r="D46" i="21" s="1"/>
  <c r="I40" i="21"/>
  <c r="H40" i="21"/>
  <c r="E40" i="21"/>
  <c r="E39" i="21"/>
  <c r="D39" i="21"/>
  <c r="G38" i="21"/>
  <c r="E38" i="21"/>
  <c r="D38" i="21"/>
  <c r="G37" i="21"/>
  <c r="F37" i="21"/>
  <c r="E37" i="21"/>
  <c r="D37" i="21"/>
  <c r="G36" i="21"/>
  <c r="F36" i="21"/>
  <c r="E36" i="21"/>
  <c r="D36" i="21"/>
  <c r="G35" i="21"/>
  <c r="G40" i="21" s="1"/>
  <c r="F35" i="21"/>
  <c r="F40" i="21" s="1"/>
  <c r="E35" i="21"/>
  <c r="D35" i="21"/>
  <c r="D40" i="21" s="1"/>
  <c r="I34" i="21"/>
  <c r="H34" i="21"/>
  <c r="D34" i="21"/>
  <c r="E33" i="21"/>
  <c r="D33" i="21"/>
  <c r="G32" i="21"/>
  <c r="E32" i="21"/>
  <c r="D32" i="21"/>
  <c r="G31" i="21"/>
  <c r="F31" i="21"/>
  <c r="E31" i="21"/>
  <c r="D31" i="21"/>
  <c r="G30" i="21"/>
  <c r="G34" i="21" s="1"/>
  <c r="F30" i="21"/>
  <c r="E30" i="21"/>
  <c r="D30" i="21"/>
  <c r="G29" i="21"/>
  <c r="F29" i="21"/>
  <c r="F34" i="21" s="1"/>
  <c r="E29" i="21"/>
  <c r="E34" i="21" s="1"/>
  <c r="D29" i="21"/>
  <c r="I28" i="21"/>
  <c r="H28" i="21"/>
  <c r="G28" i="21"/>
  <c r="E27" i="21"/>
  <c r="D27" i="21"/>
  <c r="G26" i="21"/>
  <c r="E26" i="21"/>
  <c r="D26" i="21"/>
  <c r="H25" i="21"/>
  <c r="G25" i="21"/>
  <c r="E25" i="21"/>
  <c r="D25" i="21"/>
  <c r="G24" i="21"/>
  <c r="F24" i="21"/>
  <c r="E24" i="21"/>
  <c r="D24" i="21"/>
  <c r="G23" i="21"/>
  <c r="F23" i="21"/>
  <c r="E23" i="21"/>
  <c r="D23" i="21"/>
  <c r="G22" i="21"/>
  <c r="F22" i="21"/>
  <c r="F28" i="21" s="1"/>
  <c r="E22" i="21"/>
  <c r="E28" i="21" s="1"/>
  <c r="D22" i="21"/>
  <c r="D28" i="21" s="1"/>
  <c r="I21" i="21"/>
  <c r="F21" i="21"/>
  <c r="E20" i="21"/>
  <c r="D20" i="21"/>
  <c r="H19" i="21"/>
  <c r="H21" i="21" s="1"/>
  <c r="G19" i="21"/>
  <c r="E19" i="21"/>
  <c r="D19" i="21"/>
  <c r="G18" i="21"/>
  <c r="F18" i="21"/>
  <c r="E18" i="21"/>
  <c r="D18" i="21"/>
  <c r="G17" i="21"/>
  <c r="F17" i="21"/>
  <c r="E17" i="21"/>
  <c r="D17" i="21"/>
  <c r="G16" i="21"/>
  <c r="G21" i="21" s="1"/>
  <c r="F16" i="21"/>
  <c r="E16" i="21"/>
  <c r="E21" i="21" s="1"/>
  <c r="D16" i="21"/>
  <c r="D21" i="21" s="1"/>
  <c r="H13" i="21"/>
  <c r="G13" i="21"/>
  <c r="E13" i="21"/>
  <c r="D13" i="21"/>
  <c r="I12" i="21"/>
  <c r="I15" i="21" s="1"/>
  <c r="I59" i="21" s="1"/>
  <c r="H12" i="21"/>
  <c r="H15" i="21" s="1"/>
  <c r="H59" i="21" s="1"/>
  <c r="E12" i="21"/>
  <c r="D12" i="21"/>
  <c r="G11" i="21"/>
  <c r="F11" i="21"/>
  <c r="E11" i="21"/>
  <c r="D11" i="21"/>
  <c r="G10" i="21"/>
  <c r="F10" i="21"/>
  <c r="E10" i="21"/>
  <c r="E15" i="21" s="1"/>
  <c r="D10" i="21"/>
  <c r="D15" i="21" s="1"/>
  <c r="G9" i="21"/>
  <c r="G15" i="21" s="1"/>
  <c r="F9" i="21"/>
  <c r="F15" i="21" s="1"/>
  <c r="E9" i="21"/>
  <c r="D9" i="21"/>
  <c r="G5" i="21"/>
  <c r="F5" i="21"/>
  <c r="E5" i="21"/>
  <c r="D5" i="21"/>
  <c r="G4" i="21"/>
  <c r="F4" i="21"/>
  <c r="E4" i="21"/>
  <c r="E8" i="21" s="1"/>
  <c r="D4" i="21"/>
  <c r="D8" i="21" s="1"/>
  <c r="G3" i="21"/>
  <c r="G8" i="21" s="1"/>
  <c r="G59" i="21" s="1"/>
  <c r="F3" i="21"/>
  <c r="F8" i="21" s="1"/>
  <c r="F59" i="21" s="1"/>
  <c r="E3" i="21"/>
  <c r="D3" i="21"/>
  <c r="E56" i="19"/>
  <c r="D56" i="19"/>
  <c r="C56" i="19"/>
  <c r="E55" i="19"/>
  <c r="E54" i="19"/>
  <c r="E53" i="19"/>
  <c r="E52" i="19"/>
  <c r="E51" i="19"/>
  <c r="E50" i="19"/>
  <c r="D50" i="19"/>
  <c r="C50" i="19"/>
  <c r="E49" i="19"/>
  <c r="E48" i="19"/>
  <c r="E47" i="19"/>
  <c r="E46" i="19"/>
  <c r="E45" i="19"/>
  <c r="E44" i="19"/>
  <c r="D44" i="19"/>
  <c r="C44" i="19"/>
  <c r="E43" i="19"/>
  <c r="E42" i="19"/>
  <c r="E41" i="19"/>
  <c r="E40" i="19"/>
  <c r="E39" i="19"/>
  <c r="E38" i="19"/>
  <c r="D38" i="19"/>
  <c r="C38" i="19"/>
  <c r="E37" i="19"/>
  <c r="E36" i="19"/>
  <c r="E35" i="19"/>
  <c r="E34" i="19"/>
  <c r="E33" i="19"/>
  <c r="E32" i="19"/>
  <c r="D32" i="19"/>
  <c r="C32" i="19"/>
  <c r="E31" i="19"/>
  <c r="E29" i="19"/>
  <c r="E28" i="19"/>
  <c r="E27" i="19"/>
  <c r="D26" i="19"/>
  <c r="E26" i="19" s="1"/>
  <c r="C26" i="19"/>
  <c r="E25" i="19"/>
  <c r="E24" i="19"/>
  <c r="E23" i="19"/>
  <c r="E22" i="19"/>
  <c r="E21" i="19"/>
  <c r="D20" i="19"/>
  <c r="E20" i="19" s="1"/>
  <c r="C20" i="19"/>
  <c r="E19" i="19"/>
  <c r="E18" i="19"/>
  <c r="E17" i="19"/>
  <c r="E16" i="19"/>
  <c r="E15" i="19"/>
  <c r="D14" i="19"/>
  <c r="E14" i="19" s="1"/>
  <c r="C14" i="19"/>
  <c r="E13" i="19"/>
  <c r="E12" i="19"/>
  <c r="E11" i="19"/>
  <c r="E10" i="19"/>
  <c r="E9" i="19"/>
  <c r="D8" i="19"/>
  <c r="E8" i="19" s="1"/>
  <c r="C8" i="19"/>
  <c r="E7" i="19"/>
  <c r="E6" i="19"/>
  <c r="E5" i="19"/>
  <c r="E4" i="19"/>
  <c r="E3" i="19"/>
  <c r="O37" i="18"/>
  <c r="N37" i="18"/>
  <c r="L37" i="18"/>
  <c r="K37" i="18"/>
  <c r="J37" i="18"/>
  <c r="I37" i="18"/>
  <c r="G37" i="18"/>
  <c r="F37" i="18"/>
  <c r="E37" i="18"/>
  <c r="D37" i="18"/>
  <c r="O36" i="18"/>
  <c r="O38" i="18" s="1"/>
  <c r="N36" i="18"/>
  <c r="L36" i="18"/>
  <c r="K36" i="18"/>
  <c r="I36" i="18"/>
  <c r="H36" i="18"/>
  <c r="G36" i="18"/>
  <c r="G38" i="18" s="1"/>
  <c r="F36" i="18"/>
  <c r="E36" i="18"/>
  <c r="D36" i="18"/>
  <c r="P35" i="18"/>
  <c r="P34" i="18"/>
  <c r="P33" i="18"/>
  <c r="P32" i="18"/>
  <c r="P31" i="18"/>
  <c r="M30" i="18"/>
  <c r="M37" i="18" s="1"/>
  <c r="J30" i="18"/>
  <c r="J36" i="18" s="1"/>
  <c r="J38" i="18" s="1"/>
  <c r="H30" i="18"/>
  <c r="P30" i="18" s="1"/>
  <c r="P37" i="18" s="1"/>
  <c r="O29" i="18"/>
  <c r="N29" i="18"/>
  <c r="N38" i="18" s="1"/>
  <c r="M29" i="18"/>
  <c r="L29" i="18"/>
  <c r="L38" i="18" s="1"/>
  <c r="K29" i="18"/>
  <c r="K38" i="18" s="1"/>
  <c r="J29" i="18"/>
  <c r="I29" i="18"/>
  <c r="I38" i="18" s="1"/>
  <c r="H29" i="18"/>
  <c r="G29" i="18"/>
  <c r="F29" i="18"/>
  <c r="F38" i="18" s="1"/>
  <c r="E29" i="18"/>
  <c r="E38" i="18" s="1"/>
  <c r="D29" i="18"/>
  <c r="P29" i="18" s="1"/>
  <c r="P28" i="18"/>
  <c r="P27" i="18"/>
  <c r="P26" i="18"/>
  <c r="O25" i="18"/>
  <c r="N25" i="18"/>
  <c r="M25" i="18"/>
  <c r="L25" i="18"/>
  <c r="K25" i="18"/>
  <c r="J25" i="18"/>
  <c r="I25" i="18"/>
  <c r="H25" i="18"/>
  <c r="G25" i="18"/>
  <c r="F25" i="18"/>
  <c r="E25" i="18"/>
  <c r="D25" i="18"/>
  <c r="P24" i="18"/>
  <c r="P23" i="18"/>
  <c r="P22" i="18"/>
  <c r="P21" i="18"/>
  <c r="P20" i="18"/>
  <c r="P19" i="18"/>
  <c r="P18" i="18"/>
  <c r="P17" i="18"/>
  <c r="P16" i="18"/>
  <c r="P25" i="18" s="1"/>
  <c r="O15" i="18"/>
  <c r="N15" i="18"/>
  <c r="M15" i="18"/>
  <c r="L15" i="18"/>
  <c r="K15" i="18"/>
  <c r="J15" i="18"/>
  <c r="I15" i="18"/>
  <c r="H15" i="18"/>
  <c r="G15" i="18"/>
  <c r="F15" i="18"/>
  <c r="E15" i="18"/>
  <c r="D15" i="18"/>
  <c r="P15" i="18" s="1"/>
  <c r="P14" i="18"/>
  <c r="P13" i="18"/>
  <c r="P12" i="18"/>
  <c r="O11" i="18"/>
  <c r="N11" i="18"/>
  <c r="L11" i="18"/>
  <c r="K11" i="18"/>
  <c r="J11" i="18"/>
  <c r="I11" i="18"/>
  <c r="G11" i="18"/>
  <c r="F11" i="18"/>
  <c r="E11" i="18"/>
  <c r="D11" i="18"/>
  <c r="P10" i="18"/>
  <c r="P9" i="18"/>
  <c r="P8" i="18"/>
  <c r="M8" i="18"/>
  <c r="H8" i="18"/>
  <c r="H37" i="18" s="1"/>
  <c r="G8" i="18"/>
  <c r="P7" i="18"/>
  <c r="P6" i="18"/>
  <c r="P5" i="18"/>
  <c r="M5" i="18"/>
  <c r="M11" i="18" s="1"/>
  <c r="H5" i="18"/>
  <c r="H11" i="18" s="1"/>
  <c r="P4" i="18"/>
  <c r="P3" i="18"/>
  <c r="P2" i="18"/>
  <c r="G3" i="17"/>
  <c r="G2" i="17"/>
  <c r="G4" i="17" s="1"/>
  <c r="G4" i="16"/>
  <c r="G3" i="16"/>
  <c r="G2" i="16"/>
  <c r="G5" i="16" s="1"/>
  <c r="O31" i="15"/>
  <c r="N31" i="15"/>
  <c r="M31" i="15"/>
  <c r="L31" i="15"/>
  <c r="K31" i="15"/>
  <c r="J31" i="15"/>
  <c r="I31" i="15"/>
  <c r="H31" i="15"/>
  <c r="G31" i="15"/>
  <c r="F31" i="15"/>
  <c r="E31" i="15"/>
  <c r="D31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P29" i="15"/>
  <c r="P28" i="15"/>
  <c r="P27" i="15"/>
  <c r="P26" i="15"/>
  <c r="P25" i="15"/>
  <c r="P24" i="15"/>
  <c r="O23" i="15"/>
  <c r="N23" i="15"/>
  <c r="M23" i="15"/>
  <c r="L23" i="15"/>
  <c r="K23" i="15"/>
  <c r="J23" i="15"/>
  <c r="I23" i="15"/>
  <c r="I32" i="15" s="1"/>
  <c r="H23" i="15"/>
  <c r="G23" i="15"/>
  <c r="F23" i="15"/>
  <c r="E23" i="15"/>
  <c r="D23" i="15"/>
  <c r="P22" i="15"/>
  <c r="P21" i="15"/>
  <c r="P20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P18" i="15"/>
  <c r="P17" i="15"/>
  <c r="P16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P14" i="15"/>
  <c r="P13" i="15"/>
  <c r="P12" i="15"/>
  <c r="O11" i="15"/>
  <c r="N11" i="15"/>
  <c r="M11" i="15"/>
  <c r="L11" i="15"/>
  <c r="K11" i="15"/>
  <c r="K32" i="15" s="1"/>
  <c r="J11" i="15"/>
  <c r="I11" i="15"/>
  <c r="H11" i="15"/>
  <c r="G11" i="15"/>
  <c r="F11" i="15"/>
  <c r="E11" i="15"/>
  <c r="D11" i="15"/>
  <c r="P10" i="15"/>
  <c r="P9" i="15"/>
  <c r="P8" i="15"/>
  <c r="P7" i="15"/>
  <c r="P6" i="15"/>
  <c r="P5" i="15"/>
  <c r="P4" i="15"/>
  <c r="P3" i="15"/>
  <c r="P2" i="15"/>
  <c r="O32" i="14"/>
  <c r="N32" i="14"/>
  <c r="G32" i="14"/>
  <c r="F32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P31" i="14" s="1"/>
  <c r="O30" i="14"/>
  <c r="N30" i="14"/>
  <c r="M30" i="14"/>
  <c r="M32" i="14" s="1"/>
  <c r="L30" i="14"/>
  <c r="L32" i="14" s="1"/>
  <c r="K30" i="14"/>
  <c r="K32" i="14" s="1"/>
  <c r="J30" i="14"/>
  <c r="J32" i="14" s="1"/>
  <c r="I30" i="14"/>
  <c r="I32" i="14" s="1"/>
  <c r="H30" i="14"/>
  <c r="P30" i="14" s="1"/>
  <c r="G30" i="14"/>
  <c r="F30" i="14"/>
  <c r="E30" i="14"/>
  <c r="E32" i="14" s="1"/>
  <c r="P29" i="14"/>
  <c r="P28" i="14"/>
  <c r="P27" i="14"/>
  <c r="P26" i="14"/>
  <c r="P25" i="14"/>
  <c r="P24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D32" i="14" s="1"/>
  <c r="P22" i="14"/>
  <c r="P21" i="14"/>
  <c r="P20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P19" i="14" s="1"/>
  <c r="P18" i="14"/>
  <c r="P17" i="14"/>
  <c r="P16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P15" i="14" s="1"/>
  <c r="P14" i="14"/>
  <c r="P13" i="14"/>
  <c r="P12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P11" i="14" s="1"/>
  <c r="P10" i="14"/>
  <c r="P9" i="14"/>
  <c r="P8" i="14"/>
  <c r="P7" i="14"/>
  <c r="P6" i="14"/>
  <c r="P5" i="14"/>
  <c r="P4" i="14"/>
  <c r="P3" i="14"/>
  <c r="P2" i="14"/>
  <c r="O31" i="13"/>
  <c r="N31" i="13"/>
  <c r="M31" i="13"/>
  <c r="L31" i="13"/>
  <c r="K31" i="13"/>
  <c r="J31" i="13"/>
  <c r="I31" i="13"/>
  <c r="H31" i="13"/>
  <c r="G31" i="13"/>
  <c r="F31" i="13"/>
  <c r="E31" i="13"/>
  <c r="D31" i="13"/>
  <c r="O30" i="13"/>
  <c r="N30" i="13"/>
  <c r="N32" i="13" s="1"/>
  <c r="M30" i="13"/>
  <c r="M32" i="13" s="1"/>
  <c r="L30" i="13"/>
  <c r="K30" i="13"/>
  <c r="J30" i="13"/>
  <c r="I30" i="13"/>
  <c r="H30" i="13"/>
  <c r="G30" i="13"/>
  <c r="F30" i="13"/>
  <c r="E30" i="13"/>
  <c r="E32" i="13" s="1"/>
  <c r="D30" i="13"/>
  <c r="P29" i="13"/>
  <c r="P28" i="13"/>
  <c r="P27" i="13"/>
  <c r="P26" i="13"/>
  <c r="P25" i="13"/>
  <c r="P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P23" i="13" s="1"/>
  <c r="P22" i="13"/>
  <c r="P21" i="13"/>
  <c r="P20" i="13"/>
  <c r="O19" i="13"/>
  <c r="N19" i="13"/>
  <c r="M19" i="13"/>
  <c r="L19" i="13"/>
  <c r="K19" i="13"/>
  <c r="J19" i="13"/>
  <c r="I19" i="13"/>
  <c r="H19" i="13"/>
  <c r="G19" i="13"/>
  <c r="F19" i="13"/>
  <c r="F32" i="13" s="1"/>
  <c r="E19" i="13"/>
  <c r="D19" i="13"/>
  <c r="P18" i="13"/>
  <c r="P17" i="13"/>
  <c r="P16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P14" i="13"/>
  <c r="P13" i="13"/>
  <c r="P12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P10" i="13"/>
  <c r="P9" i="13"/>
  <c r="P8" i="13"/>
  <c r="P7" i="13"/>
  <c r="P6" i="13"/>
  <c r="P5" i="13"/>
  <c r="P4" i="13"/>
  <c r="P3" i="13"/>
  <c r="P2" i="13"/>
  <c r="D6" i="12"/>
  <c r="C5" i="12"/>
  <c r="D4" i="12"/>
  <c r="D3" i="12"/>
  <c r="D2" i="12"/>
  <c r="D7" i="12" s="1"/>
  <c r="D7" i="11"/>
  <c r="C5" i="11"/>
  <c r="D59" i="21" l="1"/>
  <c r="E59" i="21"/>
  <c r="E57" i="19"/>
  <c r="P11" i="18"/>
  <c r="H38" i="18"/>
  <c r="M36" i="18"/>
  <c r="M38" i="18" s="1"/>
  <c r="D38" i="18"/>
  <c r="P38" i="18" s="1"/>
  <c r="L32" i="15"/>
  <c r="O32" i="15"/>
  <c r="P30" i="15"/>
  <c r="D32" i="15"/>
  <c r="M32" i="15"/>
  <c r="P23" i="15"/>
  <c r="P19" i="15"/>
  <c r="P15" i="15"/>
  <c r="J32" i="15"/>
  <c r="H32" i="15"/>
  <c r="N32" i="15"/>
  <c r="G32" i="15"/>
  <c r="P11" i="15"/>
  <c r="F32" i="15"/>
  <c r="P31" i="15"/>
  <c r="E32" i="15"/>
  <c r="H32" i="14"/>
  <c r="P32" i="14" s="1"/>
  <c r="P23" i="14"/>
  <c r="H32" i="13"/>
  <c r="P31" i="13"/>
  <c r="I32" i="13"/>
  <c r="K32" i="13"/>
  <c r="P15" i="13"/>
  <c r="D32" i="13"/>
  <c r="L32" i="13"/>
  <c r="J32" i="13"/>
  <c r="P19" i="13"/>
  <c r="P11" i="13"/>
  <c r="G32" i="13"/>
  <c r="O32" i="13"/>
  <c r="P30" i="13"/>
  <c r="P36" i="18" l="1"/>
  <c r="P32" i="15"/>
  <c r="P32" i="13"/>
  <c r="F11" i="9" l="1"/>
  <c r="F10" i="9"/>
  <c r="D9" i="9"/>
  <c r="F9" i="9" s="1"/>
  <c r="F8" i="9"/>
  <c r="F7" i="9"/>
  <c r="F6" i="9"/>
  <c r="D5" i="9"/>
  <c r="F5" i="9" s="1"/>
  <c r="D4" i="9"/>
  <c r="F4" i="9" s="1"/>
  <c r="F3" i="9"/>
  <c r="B5" i="10"/>
  <c r="D10" i="6" l="1"/>
  <c r="D9" i="6"/>
  <c r="D8" i="6"/>
  <c r="D7" i="6"/>
  <c r="D6" i="6"/>
  <c r="D5" i="6"/>
  <c r="D4" i="6"/>
  <c r="D3" i="6"/>
  <c r="D2" i="6"/>
  <c r="D11" i="6" s="1"/>
</calcChain>
</file>

<file path=xl/sharedStrings.xml><?xml version="1.0" encoding="utf-8"?>
<sst xmlns="http://schemas.openxmlformats.org/spreadsheetml/2006/main" count="908" uniqueCount="194">
  <si>
    <t>CONTRATO</t>
  </si>
  <si>
    <t>AÑO DE CELEBRACION</t>
  </si>
  <si>
    <t>SOCIOS / PORCENTAJE DE PARTICIPACION</t>
  </si>
  <si>
    <t>SDLA</t>
  </si>
  <si>
    <t>ECOPETROL</t>
  </si>
  <si>
    <t xml:space="preserve">TRITON </t>
  </si>
  <si>
    <t>TAURAMENA</t>
  </si>
  <si>
    <t>TRITON</t>
  </si>
  <si>
    <t>RECETOR</t>
  </si>
  <si>
    <t>MAXUS ENERGY
COLOMBIA B.V</t>
  </si>
  <si>
    <t xml:space="preserve">RIO CHITAMENA </t>
  </si>
  <si>
    <t>TOTAL</t>
  </si>
  <si>
    <t>PIEDEMONTE</t>
  </si>
  <si>
    <t>BPXC</t>
  </si>
  <si>
    <t>CONTRATOS</t>
  </si>
  <si>
    <t>PORCENTAJE DE PARTICIPACIÓN</t>
  </si>
  <si>
    <t>BPSO</t>
  </si>
  <si>
    <t>TEPMA</t>
  </si>
  <si>
    <t>RIO CHITAMENA</t>
  </si>
  <si>
    <t>SOCIO</t>
  </si>
  <si>
    <t>ABRIL DE 1992</t>
  </si>
  <si>
    <t>JUNIO DE 1993</t>
  </si>
  <si>
    <t>FEBRERO DE 1994</t>
  </si>
  <si>
    <t>ABRIL DE 2000</t>
  </si>
  <si>
    <t>NOVIEMBRE DE 2002</t>
  </si>
  <si>
    <t>INAQUIMICAS SA</t>
  </si>
  <si>
    <t>MAXUS</t>
  </si>
  <si>
    <t>PRESSAUG ENERGIE</t>
  </si>
  <si>
    <t>TOTAL PRODUCCION GROSS POR AÑOS</t>
  </si>
  <si>
    <t>AÑO</t>
  </si>
  <si>
    <t>TOTAL PRODUCCION NETA</t>
  </si>
  <si>
    <t>BARRILES DE CRUDO AÑO Y PARTICIPACION POR EMPRESA Y REGALÍAS</t>
  </si>
  <si>
    <t>REGALÍAS</t>
  </si>
  <si>
    <t>BPX</t>
  </si>
  <si>
    <t>TEPMA (TOTAL)</t>
  </si>
  <si>
    <t>TRITON (BPSO)</t>
  </si>
  <si>
    <t>15.070.698</t>
  </si>
  <si>
    <t>12.062.508</t>
  </si>
  <si>
    <t>4.243.195</t>
  </si>
  <si>
    <t>PROD. NETA
GRAVABLE (CUADROS 4)</t>
  </si>
  <si>
    <t>DICTAMEN CONTABLE PAGINA 18</t>
  </si>
  <si>
    <t>DIFERENCIAS (C4 - DICTAMEN)</t>
  </si>
  <si>
    <t>TOTAL DIFERENCIAS</t>
  </si>
  <si>
    <t>AÑOS</t>
  </si>
  <si>
    <t>TEPMA DIA</t>
  </si>
  <si>
    <t>TEPMA AÑO</t>
  </si>
  <si>
    <t>BPX DIA</t>
  </si>
  <si>
    <t>BPX AÑO</t>
  </si>
  <si>
    <t>EMPRESA</t>
  </si>
  <si>
    <t xml:space="preserve">PRODUCCION </t>
  </si>
  <si>
    <t>TOTAL PRODUCCION 1999</t>
  </si>
  <si>
    <t>TOTAL PRODUCCION 2000</t>
  </si>
  <si>
    <t>TOTAL PRODUCCION 2001</t>
  </si>
  <si>
    <t>TOTAL PRODUCCION 2002</t>
  </si>
  <si>
    <t>TOTAL PRODUCCION 2003</t>
  </si>
  <si>
    <t>TOTAL PRODUCCION 2004</t>
  </si>
  <si>
    <t>TOTAL PRODUCCION 2005</t>
  </si>
  <si>
    <t>TOTAL PRODUCCION 2006</t>
  </si>
  <si>
    <t>TOTAL PRODUCCION 2007</t>
  </si>
  <si>
    <t>ASOCIADA</t>
  </si>
  <si>
    <t>DIFERENCIA (Barriles)</t>
  </si>
  <si>
    <t>DIFERENCIA TOTAL</t>
  </si>
  <si>
    <t>REPORTES GFO</t>
  </si>
  <si>
    <t>PAGINAS WEB</t>
  </si>
  <si>
    <t xml:space="preserve">DIFERENCIA GFO - PAGS WEB </t>
  </si>
  <si>
    <t>CRUDO</t>
  </si>
  <si>
    <t>GAS</t>
  </si>
  <si>
    <t>MBOD</t>
  </si>
  <si>
    <t>REGALIAS 8%</t>
  </si>
  <si>
    <t>REGALIAS 20%</t>
  </si>
  <si>
    <t>TOTAL REGALIAS</t>
  </si>
  <si>
    <t xml:space="preserve">RECETOR </t>
  </si>
  <si>
    <t>CAMPO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</si>
  <si>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</si>
  <si>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</si>
  <si>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</si>
  <si>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</si>
  <si>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</si>
  <si>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</si>
  <si>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</si>
  <si>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</si>
  <si>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</si>
  <si>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</si>
  <si>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</si>
  <si>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</si>
  <si>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</si>
  <si>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TOTAL AÑO</t>
  </si>
  <si>
    <t>TOTAL CUPIAGUA</t>
  </si>
  <si>
    <t>PRODUCCION</t>
  </si>
  <si>
    <t>CONSUMO</t>
  </si>
  <si>
    <t>PERDIDAS</t>
  </si>
  <si>
    <t>TOTAL CUPIAGUA SUR</t>
  </si>
  <si>
    <t>TOTAL CUSIANA</t>
  </si>
  <si>
    <t>NETO DEL MES</t>
  </si>
  <si>
    <t>CUPIAGUA</t>
  </si>
  <si>
    <t>CUSIANA</t>
  </si>
  <si>
    <t>FLOREÑA</t>
  </si>
  <si>
    <t>PAUTO SUR</t>
  </si>
  <si>
    <t>PRODUCCION TOTAL</t>
  </si>
  <si>
    <t>PRODUCCION GRAVABLE</t>
  </si>
  <si>
    <t>MES</t>
  </si>
  <si>
    <t>SEGÚN PERITO</t>
  </si>
  <si>
    <t>SEGÚN CUADROS 4</t>
  </si>
  <si>
    <t>DIFERENCIA C4 - PERITO</t>
  </si>
  <si>
    <t>FEBRERO</t>
  </si>
  <si>
    <t>CUPIAGUA SUR</t>
  </si>
  <si>
    <t>TOTAL DIFERENCIA</t>
  </si>
  <si>
    <t>D1C</t>
  </si>
  <si>
    <t>CUSIANA Y CUPIAGUA</t>
  </si>
  <si>
    <t>MARZO</t>
  </si>
  <si>
    <t>ABRIL</t>
  </si>
  <si>
    <t>DELE</t>
  </si>
  <si>
    <t>DIFERENCIA PRODUCCION GRAVABLE C4 - ALR</t>
  </si>
  <si>
    <t>EN CUADROS 4 (C4)</t>
  </si>
  <si>
    <t>EN ACTAS DE LIQUIDACION DE REGALIAS (ALR)</t>
  </si>
  <si>
    <t>TOTAL DIFERENCIA 1999 A 2007</t>
  </si>
  <si>
    <t>DIFERENCIA</t>
  </si>
  <si>
    <t>DIFERENCIA (BARRILES)</t>
  </si>
  <si>
    <t>DISTRIBUCION DE LA DIFERENCIA</t>
  </si>
  <si>
    <t>ECOPE TROL</t>
  </si>
  <si>
    <t>INAQUIMICAS</t>
  </si>
  <si>
    <t>RECETOR ENE - MAR</t>
  </si>
  <si>
    <t>RECETOR ABR - DIC</t>
  </si>
  <si>
    <t>RECETOR ENE - OCT</t>
  </si>
  <si>
    <t>RECETOR NOV - DIC</t>
  </si>
  <si>
    <t>DIFERENCIA 1999 A 2007</t>
  </si>
  <si>
    <t>ACCIONADA</t>
  </si>
  <si>
    <t>BARRILES A GRAVAR</t>
  </si>
  <si>
    <t>EQUION ENERGIA LIMITED</t>
  </si>
  <si>
    <t>EMERAL ENERGY PLC</t>
  </si>
  <si>
    <t>SANTIAGO OIL COMPANY</t>
  </si>
  <si>
    <t>PRODUCCION DE GAS</t>
  </si>
  <si>
    <t>KPC</t>
  </si>
  <si>
    <r>
      <rPr>
        <sz val="11.5"/>
        <rFont val="Times New Roman"/>
        <family val="1"/>
      </rPr>
      <t>4.720.797</t>
    </r>
  </si>
  <si>
    <r>
      <rPr>
        <sz val="11.5"/>
        <rFont val="Times New Roman"/>
        <family val="1"/>
      </rPr>
      <t>4.830.481</t>
    </r>
  </si>
  <si>
    <r>
      <rPr>
        <sz val="11.5"/>
        <rFont val="Times New Roman"/>
        <family val="1"/>
      </rPr>
      <t>4.708.452</t>
    </r>
  </si>
  <si>
    <r>
      <rPr>
        <sz val="11.5"/>
        <rFont val="Times New Roman"/>
        <family val="1"/>
      </rPr>
      <t>5.720.063</t>
    </r>
  </si>
  <si>
    <r>
      <rPr>
        <sz val="11.5"/>
        <rFont val="Times New Roman"/>
        <family val="1"/>
      </rPr>
      <t>11.382.406</t>
    </r>
  </si>
  <si>
    <r>
      <rPr>
        <sz val="11.5"/>
        <rFont val="Times New Roman"/>
        <family val="1"/>
      </rPr>
      <t>26.102.394</t>
    </r>
  </si>
  <si>
    <r>
      <rPr>
        <sz val="11.5"/>
        <rFont val="Times New Roman"/>
        <family val="1"/>
      </rPr>
      <t>93.490.242</t>
    </r>
  </si>
  <si>
    <r>
      <rPr>
        <sz val="11.5"/>
        <rFont val="Times New Roman"/>
        <family val="1"/>
      </rPr>
      <t>25.831.231</t>
    </r>
  </si>
  <si>
    <r>
      <rPr>
        <sz val="11.5"/>
        <rFont val="Times New Roman"/>
        <family val="1"/>
      </rPr>
      <t>42.438.667</t>
    </r>
  </si>
  <si>
    <r>
      <rPr>
        <sz val="11.5"/>
        <rFont val="Times New Roman"/>
        <family val="1"/>
      </rPr>
      <t>66.470.867</t>
    </r>
  </si>
  <si>
    <r>
      <rPr>
        <sz val="11.5"/>
        <rFont val="Times New Roman"/>
        <family val="1"/>
      </rPr>
      <t>77.062.855</t>
    </r>
  </si>
  <si>
    <t>QUEMADO</t>
  </si>
  <si>
    <t>INYECTADO</t>
  </si>
  <si>
    <t xml:space="preserve">INYECTADO </t>
  </si>
  <si>
    <t>NETO DEI MES</t>
  </si>
  <si>
    <t>NETO DE LOS 5 CONTRATOS</t>
  </si>
  <si>
    <t>CUSIANA, CUPIAGUA Y CUPIAGUA SUR</t>
  </si>
  <si>
    <t>FLOREÑA y PAUTO SUR</t>
  </si>
  <si>
    <t>PRODUCCION GRAVABLE 1997</t>
  </si>
  <si>
    <t>PRODUCCION GRAVABLE 1998</t>
  </si>
  <si>
    <t>SEGÚN ACTAS DE LIQUIDACION</t>
  </si>
  <si>
    <t>SEGÚN FORMAS 30SH</t>
  </si>
  <si>
    <t>DIFERENCIA ADL - 30SH</t>
  </si>
  <si>
    <t>ENERO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</si>
  <si>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</si>
  <si>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</si>
  <si>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</si>
  <si>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</si>
  <si>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</si>
  <si>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</si>
  <si>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</si>
  <si>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</si>
  <si>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DIFERENCIA TOTAL 1997 Y 1998</t>
  </si>
  <si>
    <t>BASE REGALIAS 8%</t>
  </si>
  <si>
    <t>BASE REGALIAS 20%</t>
  </si>
  <si>
    <t>REGALIAS 8% (BARRILES)</t>
  </si>
  <si>
    <t>REGALIAS 20% (BARRILES)</t>
  </si>
  <si>
    <t>PRECIO PROMEDIO DEL BARRIL (USD)</t>
  </si>
  <si>
    <t xml:space="preserve">TRM PROMEDIO ANUAL 2006 </t>
  </si>
  <si>
    <t>TRM PROMEDIO ANUAL 2007</t>
  </si>
  <si>
    <t>TRM PROMEDIO 1999 - 2007</t>
  </si>
  <si>
    <t>REGALÍAS (COP)</t>
  </si>
  <si>
    <t>1999-2007</t>
  </si>
  <si>
    <t>TOTAL REGALIAS ADEUDADAS</t>
  </si>
  <si>
    <t>AÑO(S)</t>
  </si>
  <si>
    <t>PRECIO BARRIL (USD)</t>
  </si>
  <si>
    <t>TRM PROMEDIO (COP)</t>
  </si>
  <si>
    <t>REGALIAS (COP)</t>
  </si>
  <si>
    <t>BENEFICIARIO DE REGALÍAS</t>
  </si>
  <si>
    <t>ART. 31 LEY 141 DE 1994</t>
  </si>
  <si>
    <t>ART. 27 LEY 756 DE 2002</t>
  </si>
  <si>
    <t>PROMEDIO</t>
  </si>
  <si>
    <t>MENOR A 20.000 BPMD</t>
  </si>
  <si>
    <t>IGUAL O MAYOR A 20.000 BPMD</t>
  </si>
  <si>
    <t>MENOR A 10.000 BPMD</t>
  </si>
  <si>
    <t>MAYOR A 10.000 Y MENOR A 20.000 BPMD</t>
  </si>
  <si>
    <t>DEPARTAMENTOS PRODUCTORES</t>
  </si>
  <si>
    <t>MUNICIPIOS O DISTRITOS PRODUCTORES</t>
  </si>
  <si>
    <t>MUNICIPIOS O DISTRITOS PORTUARIOS</t>
  </si>
  <si>
    <t>FONDO NACIONAL DE REGALÍAS</t>
  </si>
  <si>
    <t xml:space="preserve">DEPARTAMENTOS PRODUCTORES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</si>
</sst>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_ ;\-#,##0\ "/>
    <numFmt numFmtId="165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rgb="FF161616"/>
      <name val="Century Gothic"/>
      <family val="2"/>
    </font>
    <font>
      <b/>
      <sz val="10"/>
      <color rgb="FF0F0F0F"/>
      <name val="Century Gothic"/>
      <family val="2"/>
    </font>
    <font>
      <b/>
      <sz val="10"/>
      <color rgb="FF181818"/>
      <name val="Century Gothic"/>
      <family val="2"/>
    </font>
    <font>
      <sz val="10"/>
      <color rgb="FF383838"/>
      <name val="Century Gothic"/>
      <family val="2"/>
    </font>
    <font>
      <sz val="10"/>
      <color rgb="FF161616"/>
      <name val="Century Gothic"/>
      <family val="2"/>
    </font>
    <font>
      <sz val="10"/>
      <color rgb="FF1A1A1A"/>
      <name val="Century Gothic"/>
      <family val="2"/>
    </font>
    <font>
      <sz val="10"/>
      <color rgb="FF1C1C1C"/>
      <name val="Century Gothic"/>
      <family val="2"/>
    </font>
    <font>
      <sz val="10"/>
      <color rgb="FF1F1F1F"/>
      <name val="Century Gothic"/>
      <family val="2"/>
    </font>
    <font>
      <sz val="10"/>
      <color rgb="FF313131"/>
      <name val="Century Gothic"/>
      <family val="2"/>
    </font>
    <font>
      <sz val="10"/>
      <color rgb="FF000000"/>
      <name val="Century Gothic"/>
      <family val="2"/>
    </font>
    <font>
      <sz val="10"/>
      <color rgb="FF333333"/>
      <name val="Century Gothic"/>
      <family val="2"/>
    </font>
    <font>
      <sz val="10"/>
      <color rgb="FF111111"/>
      <name val="Century Gothic"/>
      <family val="2"/>
    </font>
    <font>
      <sz val="10"/>
      <color rgb="FF0E0E0E"/>
      <name val="Century Gothic"/>
      <family val="2"/>
    </font>
    <font>
      <sz val="10"/>
      <color rgb="FF131313"/>
      <name val="Century Gothic"/>
      <family val="2"/>
    </font>
    <font>
      <sz val="10"/>
      <color rgb="FF1D1D1D"/>
      <name val="Century Gothic"/>
      <family val="2"/>
    </font>
    <font>
      <sz val="10"/>
      <color rgb="FF363636"/>
      <name val="Century Gothic"/>
      <family val="2"/>
    </font>
    <font>
      <sz val="10"/>
      <color rgb="FF151515"/>
      <name val="Century Gothic"/>
      <family val="2"/>
    </font>
    <font>
      <sz val="10"/>
      <color rgb="FF181818"/>
      <name val="Century Gothic"/>
      <family val="2"/>
    </font>
    <font>
      <sz val="10"/>
      <color rgb="FF0C0C0C"/>
      <name val="Century Gothic"/>
      <family val="2"/>
    </font>
    <font>
      <sz val="10"/>
      <color rgb="FF3A3A3A"/>
      <name val="Century Gothic"/>
      <family val="2"/>
    </font>
    <font>
      <sz val="10"/>
      <color rgb="FF212121"/>
      <name val="Century Gothic"/>
      <family val="2"/>
    </font>
    <font>
      <sz val="10"/>
      <color rgb="FF262626"/>
      <name val="Century Gothic"/>
      <family val="2"/>
    </font>
    <font>
      <sz val="10"/>
      <color rgb="FF3D3D3D"/>
      <name val="Century Gothic"/>
      <family val="2"/>
    </font>
    <font>
      <sz val="10"/>
      <color rgb="FF2D2D2D"/>
      <name val="Century Gothic"/>
      <family val="2"/>
    </font>
    <font>
      <b/>
      <sz val="11.5"/>
      <name val="Times New Roman"/>
      <family val="1"/>
    </font>
    <font>
      <sz val="11.5"/>
      <name val="Times New Roman"/>
      <family val="1"/>
    </font>
    <font>
      <b/>
      <sz val="8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sz val="8"/>
      <color rgb="FF000000"/>
      <name val="Century Gothic"/>
      <family val="2"/>
    </font>
    <font>
      <b/>
      <sz val="8"/>
      <color rgb="FF000000"/>
      <name val="Century Gothic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3" fontId="0" fillId="0" borderId="1" xfId="0" applyNumberFormat="1" applyBorder="1"/>
    <xf numFmtId="164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shrinkToFit="1"/>
    </xf>
    <xf numFmtId="164" fontId="7" fillId="0" borderId="1" xfId="0" applyNumberFormat="1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horizontal="center" vertical="center" shrinkToFit="1"/>
    </xf>
    <xf numFmtId="164" fontId="9" fillId="0" borderId="1" xfId="0" applyNumberFormat="1" applyFont="1" applyFill="1" applyBorder="1" applyAlignment="1">
      <alignment horizontal="center" vertical="center" shrinkToFit="1"/>
    </xf>
    <xf numFmtId="164" fontId="10" fillId="0" borderId="1" xfId="0" applyNumberFormat="1" applyFont="1" applyFill="1" applyBorder="1" applyAlignment="1">
      <alignment horizontal="center" vertical="center" shrinkToFi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shrinkToFit="1"/>
    </xf>
    <xf numFmtId="164" fontId="12" fillId="0" borderId="1" xfId="0" applyNumberFormat="1" applyFont="1" applyFill="1" applyBorder="1" applyAlignment="1">
      <alignment horizontal="center" vertical="center" shrinkToFit="1"/>
    </xf>
    <xf numFmtId="164" fontId="13" fillId="0" borderId="1" xfId="0" applyNumberFormat="1" applyFont="1" applyFill="1" applyBorder="1" applyAlignment="1">
      <alignment horizontal="center" vertical="center" shrinkToFit="1"/>
    </xf>
    <xf numFmtId="164" fontId="14" fillId="0" borderId="1" xfId="0" applyNumberFormat="1" applyFont="1" applyFill="1" applyBorder="1" applyAlignment="1">
      <alignment horizontal="center" vertical="center" shrinkToFit="1"/>
    </xf>
    <xf numFmtId="164" fontId="15" fillId="0" borderId="1" xfId="0" applyNumberFormat="1" applyFont="1" applyFill="1" applyBorder="1" applyAlignment="1">
      <alignment horizontal="center" vertical="center" shrinkToFit="1"/>
    </xf>
    <xf numFmtId="164" fontId="16" fillId="0" borderId="1" xfId="0" applyNumberFormat="1" applyFont="1" applyFill="1" applyBorder="1" applyAlignment="1">
      <alignment horizontal="center" vertical="center" shrinkToFit="1"/>
    </xf>
    <xf numFmtId="164" fontId="17" fillId="0" borderId="1" xfId="0" applyNumberFormat="1" applyFont="1" applyFill="1" applyBorder="1" applyAlignment="1">
      <alignment horizontal="center" vertical="center" shrinkToFit="1"/>
    </xf>
    <xf numFmtId="164" fontId="18" fillId="0" borderId="1" xfId="0" applyNumberFormat="1" applyFont="1" applyFill="1" applyBorder="1" applyAlignment="1">
      <alignment horizontal="center" vertical="center" shrinkToFit="1"/>
    </xf>
    <xf numFmtId="164" fontId="19" fillId="0" borderId="1" xfId="0" applyNumberFormat="1" applyFont="1" applyFill="1" applyBorder="1" applyAlignment="1">
      <alignment horizontal="center" vertical="center" shrinkToFit="1"/>
    </xf>
    <xf numFmtId="164" fontId="20" fillId="0" borderId="1" xfId="0" applyNumberFormat="1" applyFont="1" applyFill="1" applyBorder="1" applyAlignment="1">
      <alignment horizontal="center" vertical="center" shrinkToFit="1"/>
    </xf>
    <xf numFmtId="164" fontId="21" fillId="0" borderId="1" xfId="0" applyNumberFormat="1" applyFont="1" applyFill="1" applyBorder="1" applyAlignment="1">
      <alignment horizontal="center" vertical="center" shrinkToFi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shrinkToFit="1"/>
    </xf>
    <xf numFmtId="164" fontId="23" fillId="0" borderId="1" xfId="0" applyNumberFormat="1" applyFont="1" applyFill="1" applyBorder="1" applyAlignment="1">
      <alignment horizontal="center" vertical="center" shrinkToFit="1"/>
    </xf>
    <xf numFmtId="164" fontId="24" fillId="0" borderId="1" xfId="0" applyNumberFormat="1" applyFont="1" applyFill="1" applyBorder="1" applyAlignment="1">
      <alignment horizontal="center" vertical="center" shrinkToFi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shrinkToFit="1"/>
    </xf>
    <xf numFmtId="164" fontId="27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164" fontId="28" fillId="0" borderId="1" xfId="1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164" fontId="29" fillId="0" borderId="1" xfId="1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1" fontId="35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5" fontId="3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3" fontId="31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3" fontId="36" fillId="0" borderId="0" xfId="0" applyNumberFormat="1" applyFont="1" applyAlignment="1">
      <alignment horizontal="center" vertical="center"/>
    </xf>
    <xf numFmtId="3" fontId="31" fillId="2" borderId="1" xfId="0" applyNumberFormat="1" applyFont="1" applyFill="1" applyBorder="1" applyAlignment="1">
      <alignment horizontal="center" vertical="center" wrapText="1"/>
    </xf>
    <xf numFmtId="3" fontId="31" fillId="3" borderId="1" xfId="0" applyNumberFormat="1" applyFont="1" applyFill="1" applyBorder="1" applyAlignment="1">
      <alignment horizontal="center" vertical="center" wrapText="1"/>
    </xf>
    <xf numFmtId="3" fontId="31" fillId="4" borderId="1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3" fontId="31" fillId="0" borderId="0" xfId="0" applyNumberFormat="1" applyFont="1" applyFill="1" applyBorder="1" applyAlignment="1">
      <alignment horizontal="center" vertical="center" wrapText="1"/>
    </xf>
    <xf numFmtId="3" fontId="36" fillId="0" borderId="0" xfId="0" applyNumberFormat="1" applyFont="1" applyFill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3" fontId="31" fillId="5" borderId="1" xfId="0" applyNumberFormat="1" applyFont="1" applyFill="1" applyBorder="1" applyAlignment="1">
      <alignment horizontal="center" vertical="center" wrapText="1"/>
    </xf>
    <xf numFmtId="3" fontId="36" fillId="6" borderId="1" xfId="0" applyNumberFormat="1" applyFont="1" applyFill="1" applyBorder="1" applyAlignment="1">
      <alignment horizontal="center" vertical="center" wrapText="1"/>
    </xf>
    <xf numFmtId="3" fontId="30" fillId="7" borderId="1" xfId="0" applyNumberFormat="1" applyFont="1" applyFill="1" applyBorder="1" applyAlignment="1">
      <alignment horizontal="center" vertical="center" wrapText="1"/>
    </xf>
    <xf numFmtId="3" fontId="31" fillId="0" borderId="4" xfId="0" applyNumberFormat="1" applyFont="1" applyBorder="1" applyAlignment="1">
      <alignment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horizontal="center" vertical="center" wrapText="1"/>
    </xf>
    <xf numFmtId="3" fontId="30" fillId="0" borderId="1" xfId="0" applyNumberFormat="1" applyFont="1" applyFill="1" applyBorder="1" applyAlignment="1">
      <alignment horizontal="center" vertical="center" wrapText="1"/>
    </xf>
    <xf numFmtId="3" fontId="36" fillId="0" borderId="0" xfId="0" applyNumberFormat="1" applyFont="1" applyAlignment="1">
      <alignment horizontal="center" vertical="center" wrapText="1"/>
    </xf>
    <xf numFmtId="3" fontId="36" fillId="0" borderId="0" xfId="0" applyNumberFormat="1" applyFont="1" applyFill="1" applyAlignment="1">
      <alignment horizontal="center" vertical="center" wrapText="1"/>
    </xf>
    <xf numFmtId="3" fontId="36" fillId="4" borderId="1" xfId="0" applyNumberFormat="1" applyFont="1" applyFill="1" applyBorder="1" applyAlignment="1">
      <alignment horizontal="center" vertical="center" wrapText="1"/>
    </xf>
    <xf numFmtId="3" fontId="36" fillId="7" borderId="1" xfId="0" applyNumberFormat="1" applyFont="1" applyFill="1" applyBorder="1" applyAlignment="1">
      <alignment horizontal="center" vertical="center" wrapText="1"/>
    </xf>
    <xf numFmtId="3" fontId="31" fillId="7" borderId="1" xfId="0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1" fontId="29" fillId="0" borderId="1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3" fontId="31" fillId="8" borderId="1" xfId="0" applyNumberFormat="1" applyFont="1" applyFill="1" applyBorder="1" applyAlignment="1">
      <alignment horizontal="center" vertical="center" wrapText="1"/>
    </xf>
    <xf numFmtId="3" fontId="36" fillId="2" borderId="0" xfId="0" applyNumberFormat="1" applyFont="1" applyFill="1" applyAlignment="1">
      <alignment horizontal="center" vertical="center"/>
    </xf>
    <xf numFmtId="3" fontId="36" fillId="4" borderId="0" xfId="0" applyNumberFormat="1" applyFont="1" applyFill="1" applyAlignment="1">
      <alignment horizontal="center" vertical="center"/>
    </xf>
    <xf numFmtId="3" fontId="36" fillId="2" borderId="1" xfId="0" applyNumberFormat="1" applyFont="1" applyFill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 wrapText="1"/>
    </xf>
    <xf numFmtId="3" fontId="40" fillId="0" borderId="1" xfId="0" applyNumberFormat="1" applyFont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44" fontId="40" fillId="0" borderId="1" xfId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44" fontId="4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3" fontId="31" fillId="0" borderId="2" xfId="0" applyNumberFormat="1" applyFont="1" applyFill="1" applyBorder="1" applyAlignment="1">
      <alignment horizontal="center" vertical="center" wrapText="1"/>
    </xf>
    <xf numFmtId="3" fontId="31" fillId="0" borderId="6" xfId="0" applyNumberFormat="1" applyFont="1" applyFill="1" applyBorder="1" applyAlignment="1">
      <alignment horizontal="center" vertical="center" wrapText="1"/>
    </xf>
    <xf numFmtId="3" fontId="31" fillId="0" borderId="0" xfId="0" applyNumberFormat="1" applyFont="1" applyFill="1" applyBorder="1" applyAlignment="1">
      <alignment horizontal="center" vertical="center" wrapText="1"/>
    </xf>
    <xf numFmtId="3" fontId="31" fillId="0" borderId="7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center" vertical="center" wrapText="1"/>
    </xf>
    <xf numFmtId="3" fontId="31" fillId="0" borderId="4" xfId="0" applyNumberFormat="1" applyFont="1" applyFill="1" applyBorder="1" applyAlignment="1">
      <alignment horizontal="center" vertical="center" wrapText="1"/>
    </xf>
    <xf numFmtId="3" fontId="31" fillId="0" borderId="5" xfId="0" applyNumberFormat="1" applyFont="1" applyFill="1" applyBorder="1" applyAlignment="1">
      <alignment horizontal="center" vertical="center" wrapText="1"/>
    </xf>
    <xf numFmtId="3" fontId="31" fillId="0" borderId="8" xfId="0" applyNumberFormat="1" applyFont="1" applyFill="1" applyBorder="1" applyAlignment="1">
      <alignment horizontal="center" vertical="center" wrapText="1"/>
    </xf>
    <xf numFmtId="3" fontId="31" fillId="0" borderId="9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Fill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3" fontId="31" fillId="0" borderId="11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5" xfId="0" applyNumberFormat="1" applyFont="1" applyBorder="1" applyAlignment="1">
      <alignment horizontal="center" vertical="center" wrapText="1"/>
    </xf>
    <xf numFmtId="3" fontId="31" fillId="0" borderId="7" xfId="0" applyNumberFormat="1" applyFont="1" applyBorder="1" applyAlignment="1">
      <alignment horizontal="center" vertical="center" wrapText="1"/>
    </xf>
    <xf numFmtId="3" fontId="31" fillId="0" borderId="8" xfId="0" applyNumberFormat="1" applyFont="1" applyBorder="1" applyAlignment="1">
      <alignment horizontal="center" vertical="center" wrapText="1"/>
    </xf>
    <xf numFmtId="3" fontId="31" fillId="0" borderId="12" xfId="0" applyNumberFormat="1" applyFont="1" applyBorder="1" applyAlignment="1">
      <alignment horizontal="center" vertical="center" wrapText="1"/>
    </xf>
    <xf numFmtId="3" fontId="31" fillId="0" borderId="1" xfId="0" applyNumberFormat="1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3" fontId="31" fillId="0" borderId="13" xfId="0" applyNumberFormat="1" applyFont="1" applyBorder="1" applyAlignment="1">
      <alignment horizontal="center" vertical="center" wrapText="1"/>
    </xf>
    <xf numFmtId="3" fontId="31" fillId="0" borderId="14" xfId="0" applyNumberFormat="1" applyFont="1" applyBorder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 vertical="center" wrapText="1"/>
    </xf>
    <xf numFmtId="3" fontId="36" fillId="0" borderId="3" xfId="0" applyNumberFormat="1" applyFont="1" applyBorder="1" applyAlignment="1">
      <alignment horizontal="center" vertical="center" wrapText="1"/>
    </xf>
    <xf numFmtId="3" fontId="36" fillId="0" borderId="5" xfId="0" applyNumberFormat="1" applyFont="1" applyBorder="1" applyAlignment="1">
      <alignment horizontal="center" vertical="center" wrapText="1"/>
    </xf>
    <xf numFmtId="3" fontId="37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3" fontId="38" fillId="0" borderId="13" xfId="0" applyNumberFormat="1" applyFont="1" applyBorder="1" applyAlignment="1">
      <alignment horizontal="center" vertical="center" wrapText="1"/>
    </xf>
    <xf numFmtId="3" fontId="38" fillId="0" borderId="15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3" fontId="31" fillId="0" borderId="13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Fill="1" applyBorder="1" applyAlignment="1">
      <alignment horizontal="center" vertical="center" wrapText="1"/>
    </xf>
    <xf numFmtId="3" fontId="31" fillId="0" borderId="15" xfId="0" applyNumberFormat="1" applyFont="1" applyFill="1" applyBorder="1" applyAlignment="1">
      <alignment horizontal="center" vertical="center" wrapText="1"/>
    </xf>
    <xf numFmtId="3" fontId="31" fillId="0" borderId="1" xfId="0" applyNumberFormat="1" applyFont="1" applyFill="1" applyBorder="1" applyAlignment="1">
      <alignment horizontal="center" vertical="center" wrapText="1"/>
    </xf>
    <xf numFmtId="3" fontId="36" fillId="0" borderId="13" xfId="0" applyNumberFormat="1" applyFont="1" applyFill="1" applyBorder="1" applyAlignment="1">
      <alignment horizontal="center" vertical="center" wrapText="1"/>
    </xf>
    <xf numFmtId="3" fontId="36" fillId="0" borderId="14" xfId="0" applyNumberFormat="1" applyFont="1" applyFill="1" applyBorder="1" applyAlignment="1">
      <alignment horizontal="center" vertical="center" wrapText="1"/>
    </xf>
    <xf numFmtId="3" fontId="36" fillId="0" borderId="15" xfId="0" applyNumberFormat="1" applyFont="1" applyFill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3" fontId="31" fillId="0" borderId="9" xfId="0" applyNumberFormat="1" applyFont="1" applyBorder="1" applyAlignment="1">
      <alignment horizontal="center" vertical="center" wrapText="1"/>
    </xf>
    <xf numFmtId="1" fontId="36" fillId="0" borderId="1" xfId="0" applyNumberFormat="1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C13" sqref="C13"/>
    </sheetView>
  </sheetViews>
  <sheetFormatPr baseColWidth="10" defaultRowHeight="15" x14ac:dyDescent="0.25"/>
  <cols>
    <col min="1" max="1" width="12.7109375" customWidth="1"/>
    <col min="2" max="2" width="12.85546875" customWidth="1"/>
    <col min="4" max="4" width="4.5703125" bestFit="1" customWidth="1"/>
    <col min="5" max="5" width="15.140625" customWidth="1"/>
    <col min="6" max="6" width="4.5703125" bestFit="1" customWidth="1"/>
  </cols>
  <sheetData>
    <row r="1" spans="1:6" ht="45" x14ac:dyDescent="0.25">
      <c r="A1" s="1" t="s">
        <v>0</v>
      </c>
      <c r="B1" s="1" t="s">
        <v>1</v>
      </c>
      <c r="C1" s="113" t="s">
        <v>2</v>
      </c>
      <c r="D1" s="113"/>
      <c r="E1" s="113"/>
      <c r="F1" s="113"/>
    </row>
    <row r="2" spans="1:6" x14ac:dyDescent="0.25">
      <c r="A2" s="3" t="s">
        <v>3</v>
      </c>
      <c r="B2" s="3">
        <v>1982</v>
      </c>
      <c r="C2" s="3" t="s">
        <v>4</v>
      </c>
      <c r="D2" s="4">
        <v>0.5</v>
      </c>
      <c r="E2" s="3" t="s">
        <v>5</v>
      </c>
      <c r="F2" s="4">
        <v>0.5</v>
      </c>
    </row>
    <row r="3" spans="1:6" x14ac:dyDescent="0.25">
      <c r="A3" s="3" t="s">
        <v>6</v>
      </c>
      <c r="B3" s="3">
        <v>1988</v>
      </c>
      <c r="C3" s="3" t="s">
        <v>4</v>
      </c>
      <c r="D3" s="4">
        <v>0.5</v>
      </c>
      <c r="E3" s="3" t="s">
        <v>7</v>
      </c>
      <c r="F3" s="4">
        <v>0.5</v>
      </c>
    </row>
    <row r="4" spans="1:6" ht="30" x14ac:dyDescent="0.25">
      <c r="A4" s="3" t="s">
        <v>8</v>
      </c>
      <c r="B4" s="3">
        <v>1989</v>
      </c>
      <c r="C4" s="3" t="s">
        <v>4</v>
      </c>
      <c r="D4" s="4">
        <v>0.5</v>
      </c>
      <c r="E4" s="3" t="s">
        <v>9</v>
      </c>
      <c r="F4" s="4">
        <v>0.5</v>
      </c>
    </row>
    <row r="5" spans="1:6" ht="30" x14ac:dyDescent="0.25">
      <c r="A5" s="3" t="s">
        <v>10</v>
      </c>
      <c r="B5" s="3">
        <v>1990</v>
      </c>
      <c r="C5" s="3" t="s">
        <v>4</v>
      </c>
      <c r="D5" s="4">
        <v>0.5</v>
      </c>
      <c r="E5" s="3" t="s">
        <v>11</v>
      </c>
      <c r="F5" s="4">
        <v>0.5</v>
      </c>
    </row>
    <row r="6" spans="1:6" x14ac:dyDescent="0.25">
      <c r="A6" s="3" t="s">
        <v>12</v>
      </c>
      <c r="B6" s="3">
        <v>1992</v>
      </c>
      <c r="C6" s="3" t="s">
        <v>4</v>
      </c>
      <c r="D6" s="4">
        <v>0.5</v>
      </c>
      <c r="E6" s="3" t="s">
        <v>13</v>
      </c>
      <c r="F6" s="4">
        <v>0.5</v>
      </c>
    </row>
  </sheetData>
  <mergeCells count="1">
    <mergeCell ref="C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8" sqref="D8:D12"/>
    </sheetView>
  </sheetViews>
  <sheetFormatPr baseColWidth="10" defaultRowHeight="15" x14ac:dyDescent="0.25"/>
  <cols>
    <col min="1" max="1" width="4.7109375" bestFit="1" customWidth="1"/>
    <col min="2" max="2" width="10.28515625" bestFit="1" customWidth="1"/>
    <col min="3" max="3" width="12.28515625" customWidth="1"/>
    <col min="4" max="4" width="4.7109375" bestFit="1" customWidth="1"/>
    <col min="5" max="5" width="10.28515625" bestFit="1" customWidth="1"/>
    <col min="6" max="6" width="11.28515625" customWidth="1"/>
    <col min="7" max="7" width="4.7109375" bestFit="1" customWidth="1"/>
    <col min="8" max="8" width="10.28515625" bestFit="1" customWidth="1"/>
    <col min="9" max="9" width="11.5703125" customWidth="1"/>
  </cols>
  <sheetData>
    <row r="1" spans="1:9" ht="16.5" customHeight="1" x14ac:dyDescent="0.25">
      <c r="A1" s="44" t="s">
        <v>29</v>
      </c>
      <c r="B1" s="44" t="s">
        <v>48</v>
      </c>
      <c r="C1" s="45" t="s">
        <v>49</v>
      </c>
      <c r="D1" s="44" t="s">
        <v>29</v>
      </c>
      <c r="E1" s="44" t="s">
        <v>48</v>
      </c>
      <c r="F1" s="45" t="s">
        <v>49</v>
      </c>
      <c r="G1" s="44" t="s">
        <v>29</v>
      </c>
      <c r="H1" s="44" t="s">
        <v>48</v>
      </c>
      <c r="I1" s="45" t="s">
        <v>49</v>
      </c>
    </row>
    <row r="2" spans="1:9" x14ac:dyDescent="0.25">
      <c r="A2" s="122">
        <v>1999</v>
      </c>
      <c r="B2" s="46" t="s">
        <v>13</v>
      </c>
      <c r="C2" s="47">
        <v>23861771</v>
      </c>
      <c r="D2" s="122">
        <v>2000</v>
      </c>
      <c r="E2" s="46" t="s">
        <v>13</v>
      </c>
      <c r="F2" s="47">
        <v>18867764</v>
      </c>
      <c r="G2" s="122">
        <v>2001</v>
      </c>
      <c r="H2" s="46" t="s">
        <v>13</v>
      </c>
      <c r="I2" s="47">
        <v>17519228</v>
      </c>
    </row>
    <row r="3" spans="1:9" x14ac:dyDescent="0.25">
      <c r="A3" s="122"/>
      <c r="B3" s="46" t="s">
        <v>17</v>
      </c>
      <c r="C3" s="47">
        <v>23861771</v>
      </c>
      <c r="D3" s="122"/>
      <c r="E3" s="46" t="s">
        <v>17</v>
      </c>
      <c r="F3" s="47">
        <v>18813232</v>
      </c>
      <c r="G3" s="122"/>
      <c r="H3" s="46" t="s">
        <v>17</v>
      </c>
      <c r="I3" s="47">
        <v>15832076</v>
      </c>
    </row>
    <row r="4" spans="1:9" x14ac:dyDescent="0.25">
      <c r="A4" s="122"/>
      <c r="B4" s="46" t="s">
        <v>7</v>
      </c>
      <c r="C4" s="47">
        <v>15070592</v>
      </c>
      <c r="D4" s="122"/>
      <c r="E4" s="46" t="s">
        <v>7</v>
      </c>
      <c r="F4" s="47">
        <v>11895674</v>
      </c>
      <c r="G4" s="122"/>
      <c r="H4" s="46" t="s">
        <v>7</v>
      </c>
      <c r="I4" s="47">
        <v>10202575</v>
      </c>
    </row>
    <row r="5" spans="1:9" x14ac:dyDescent="0.25">
      <c r="A5" s="122"/>
      <c r="B5" s="46" t="s">
        <v>4</v>
      </c>
      <c r="C5" s="47">
        <v>62794135</v>
      </c>
      <c r="D5" s="122"/>
      <c r="E5" s="46" t="s">
        <v>4</v>
      </c>
      <c r="F5" s="47">
        <v>49576670</v>
      </c>
      <c r="G5" s="122"/>
      <c r="H5" s="46" t="s">
        <v>4</v>
      </c>
      <c r="I5" s="47">
        <v>43553880</v>
      </c>
    </row>
    <row r="6" spans="1:9" x14ac:dyDescent="0.25">
      <c r="A6" s="122"/>
      <c r="B6" s="46" t="s">
        <v>32</v>
      </c>
      <c r="C6" s="47">
        <v>31397067</v>
      </c>
      <c r="D6" s="122"/>
      <c r="E6" s="46" t="s">
        <v>32</v>
      </c>
      <c r="F6" s="47">
        <v>24788335</v>
      </c>
      <c r="G6" s="122"/>
      <c r="H6" s="46" t="s">
        <v>32</v>
      </c>
      <c r="I6" s="47">
        <v>21776940</v>
      </c>
    </row>
    <row r="7" spans="1:9" ht="38.25" customHeight="1" x14ac:dyDescent="0.25">
      <c r="A7" s="123" t="s">
        <v>50</v>
      </c>
      <c r="B7" s="123"/>
      <c r="C7" s="45">
        <v>156985337</v>
      </c>
      <c r="D7" s="123" t="s">
        <v>51</v>
      </c>
      <c r="E7" s="123"/>
      <c r="F7" s="45">
        <v>123941676</v>
      </c>
      <c r="G7" s="123" t="s">
        <v>52</v>
      </c>
      <c r="H7" s="123"/>
      <c r="I7" s="45">
        <v>108884699</v>
      </c>
    </row>
    <row r="8" spans="1:9" x14ac:dyDescent="0.25">
      <c r="A8" s="122">
        <v>2002</v>
      </c>
      <c r="B8" s="46" t="s">
        <v>13</v>
      </c>
      <c r="C8" s="47">
        <v>16253449</v>
      </c>
      <c r="D8" s="122">
        <v>2003</v>
      </c>
      <c r="E8" s="46" t="s">
        <v>13</v>
      </c>
      <c r="F8" s="47">
        <v>13647084</v>
      </c>
      <c r="G8" s="122">
        <v>2004</v>
      </c>
      <c r="H8" s="46" t="s">
        <v>13</v>
      </c>
      <c r="I8" s="47">
        <v>11914371</v>
      </c>
    </row>
    <row r="9" spans="1:9" x14ac:dyDescent="0.25">
      <c r="A9" s="122"/>
      <c r="B9" s="46" t="s">
        <v>17</v>
      </c>
      <c r="C9" s="47">
        <v>11454385</v>
      </c>
      <c r="D9" s="122"/>
      <c r="E9" s="46" t="s">
        <v>17</v>
      </c>
      <c r="F9" s="47">
        <v>9381083</v>
      </c>
      <c r="G9" s="122"/>
      <c r="H9" s="46" t="s">
        <v>17</v>
      </c>
      <c r="I9" s="47">
        <v>6795717</v>
      </c>
    </row>
    <row r="10" spans="1:9" x14ac:dyDescent="0.25">
      <c r="A10" s="122"/>
      <c r="B10" s="46" t="s">
        <v>7</v>
      </c>
      <c r="C10" s="47">
        <v>7959932</v>
      </c>
      <c r="D10" s="122"/>
      <c r="E10" s="46" t="s">
        <v>7</v>
      </c>
      <c r="F10" s="47">
        <v>6599230</v>
      </c>
      <c r="G10" s="122"/>
      <c r="H10" s="46" t="s">
        <v>16</v>
      </c>
      <c r="I10" s="47">
        <v>5156736</v>
      </c>
    </row>
    <row r="11" spans="1:9" x14ac:dyDescent="0.25">
      <c r="A11" s="122"/>
      <c r="B11" s="46" t="s">
        <v>4</v>
      </c>
      <c r="C11" s="47">
        <v>35667766</v>
      </c>
      <c r="D11" s="122"/>
      <c r="E11" s="46" t="s">
        <v>4</v>
      </c>
      <c r="F11" s="47">
        <v>29627397</v>
      </c>
      <c r="G11" s="122"/>
      <c r="H11" s="46" t="s">
        <v>4</v>
      </c>
      <c r="I11" s="47">
        <v>23866824</v>
      </c>
    </row>
    <row r="12" spans="1:9" x14ac:dyDescent="0.25">
      <c r="A12" s="122"/>
      <c r="B12" s="46" t="s">
        <v>32</v>
      </c>
      <c r="C12" s="47">
        <v>17833883</v>
      </c>
      <c r="D12" s="122"/>
      <c r="E12" s="46" t="s">
        <v>32</v>
      </c>
      <c r="F12" s="47">
        <v>14813698</v>
      </c>
      <c r="G12" s="122"/>
      <c r="H12" s="46" t="s">
        <v>32</v>
      </c>
      <c r="I12" s="47">
        <v>11933412</v>
      </c>
    </row>
    <row r="13" spans="1:9" ht="42" customHeight="1" x14ac:dyDescent="0.25">
      <c r="A13" s="123" t="s">
        <v>53</v>
      </c>
      <c r="B13" s="123"/>
      <c r="C13" s="45">
        <v>89169415</v>
      </c>
      <c r="D13" s="123" t="s">
        <v>54</v>
      </c>
      <c r="E13" s="123"/>
      <c r="F13" s="45">
        <v>74068492</v>
      </c>
      <c r="G13" s="123" t="s">
        <v>55</v>
      </c>
      <c r="H13" s="123"/>
      <c r="I13" s="45">
        <v>59667061</v>
      </c>
    </row>
    <row r="14" spans="1:9" x14ac:dyDescent="0.25">
      <c r="A14" s="122">
        <v>2005</v>
      </c>
      <c r="B14" s="46" t="s">
        <v>13</v>
      </c>
      <c r="C14" s="47">
        <v>10240319</v>
      </c>
      <c r="D14" s="122">
        <v>2006</v>
      </c>
      <c r="E14" s="46" t="s">
        <v>13</v>
      </c>
      <c r="F14" s="47">
        <v>8648978</v>
      </c>
      <c r="G14" s="122">
        <v>2007</v>
      </c>
      <c r="H14" s="46" t="s">
        <v>13</v>
      </c>
      <c r="I14" s="47">
        <v>7242698</v>
      </c>
    </row>
    <row r="15" spans="1:9" x14ac:dyDescent="0.25">
      <c r="A15" s="122"/>
      <c r="B15" s="46" t="s">
        <v>17</v>
      </c>
      <c r="C15" s="47">
        <v>5490504</v>
      </c>
      <c r="D15" s="122"/>
      <c r="E15" s="46" t="s">
        <v>17</v>
      </c>
      <c r="F15" s="47">
        <v>4755821</v>
      </c>
      <c r="G15" s="122"/>
      <c r="H15" s="46" t="s">
        <v>17</v>
      </c>
      <c r="I15" s="47">
        <v>3710324</v>
      </c>
    </row>
    <row r="16" spans="1:9" x14ac:dyDescent="0.25">
      <c r="A16" s="122"/>
      <c r="B16" s="46" t="s">
        <v>16</v>
      </c>
      <c r="C16" s="47">
        <v>4243201</v>
      </c>
      <c r="D16" s="122"/>
      <c r="E16" s="46" t="s">
        <v>16</v>
      </c>
      <c r="F16" s="47">
        <v>3657614</v>
      </c>
      <c r="G16" s="122"/>
      <c r="H16" s="46" t="s">
        <v>16</v>
      </c>
      <c r="I16" s="47">
        <v>2931168</v>
      </c>
    </row>
    <row r="17" spans="1:9" x14ac:dyDescent="0.25">
      <c r="A17" s="122"/>
      <c r="B17" s="46" t="s">
        <v>4</v>
      </c>
      <c r="C17" s="47">
        <v>19974024</v>
      </c>
      <c r="D17" s="122"/>
      <c r="E17" s="46" t="s">
        <v>4</v>
      </c>
      <c r="F17" s="47">
        <v>17062413</v>
      </c>
      <c r="G17" s="122"/>
      <c r="H17" s="46" t="s">
        <v>4</v>
      </c>
      <c r="I17" s="47">
        <v>13884191</v>
      </c>
    </row>
    <row r="18" spans="1:9" x14ac:dyDescent="0.25">
      <c r="A18" s="122"/>
      <c r="B18" s="46" t="s">
        <v>32</v>
      </c>
      <c r="C18" s="47">
        <v>9987012</v>
      </c>
      <c r="D18" s="122"/>
      <c r="E18" s="46" t="s">
        <v>32</v>
      </c>
      <c r="F18" s="47">
        <v>8531206</v>
      </c>
      <c r="G18" s="122"/>
      <c r="H18" s="46" t="s">
        <v>32</v>
      </c>
      <c r="I18" s="47">
        <v>6942095</v>
      </c>
    </row>
    <row r="19" spans="1:9" ht="36.75" customHeight="1" x14ac:dyDescent="0.25">
      <c r="A19" s="123" t="s">
        <v>56</v>
      </c>
      <c r="B19" s="123"/>
      <c r="C19" s="45">
        <v>49935060</v>
      </c>
      <c r="D19" s="123" t="s">
        <v>57</v>
      </c>
      <c r="E19" s="123"/>
      <c r="F19" s="45">
        <v>42656032</v>
      </c>
      <c r="G19" s="123" t="s">
        <v>58</v>
      </c>
      <c r="H19" s="123"/>
      <c r="I19" s="45">
        <v>34710477</v>
      </c>
    </row>
  </sheetData>
  <mergeCells count="18">
    <mergeCell ref="A2:A6"/>
    <mergeCell ref="D2:D6"/>
    <mergeCell ref="G2:G6"/>
    <mergeCell ref="A7:B7"/>
    <mergeCell ref="D7:E7"/>
    <mergeCell ref="G7:H7"/>
    <mergeCell ref="A8:A12"/>
    <mergeCell ref="D8:D12"/>
    <mergeCell ref="G8:G12"/>
    <mergeCell ref="A13:B13"/>
    <mergeCell ref="D13:E13"/>
    <mergeCell ref="G13:H13"/>
    <mergeCell ref="A14:A18"/>
    <mergeCell ref="D14:D18"/>
    <mergeCell ref="G14:G18"/>
    <mergeCell ref="A19:B19"/>
    <mergeCell ref="D19:E19"/>
    <mergeCell ref="G19:H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6" sqref="B6"/>
    </sheetView>
  </sheetViews>
  <sheetFormatPr baseColWidth="10" defaultRowHeight="15" x14ac:dyDescent="0.25"/>
  <cols>
    <col min="1" max="1" width="15.28515625" bestFit="1" customWidth="1"/>
    <col min="2" max="2" width="12.5703125" bestFit="1" customWidth="1"/>
    <col min="3" max="3" width="13.5703125" bestFit="1" customWidth="1"/>
    <col min="4" max="4" width="15.5703125" bestFit="1" customWidth="1"/>
  </cols>
  <sheetData>
    <row r="1" spans="1:4" x14ac:dyDescent="0.25">
      <c r="A1" s="42" t="s">
        <v>0</v>
      </c>
      <c r="B1" s="42" t="s">
        <v>68</v>
      </c>
      <c r="C1" s="42" t="s">
        <v>69</v>
      </c>
      <c r="D1" s="42" t="s">
        <v>70</v>
      </c>
    </row>
    <row r="2" spans="1:4" x14ac:dyDescent="0.25">
      <c r="A2" s="43" t="s">
        <v>3</v>
      </c>
      <c r="B2" s="40"/>
      <c r="C2" s="40">
        <v>19108859</v>
      </c>
      <c r="D2" s="40">
        <v>19108859</v>
      </c>
    </row>
    <row r="3" spans="1:4" x14ac:dyDescent="0.25">
      <c r="A3" s="43" t="s">
        <v>6</v>
      </c>
      <c r="B3" s="40"/>
      <c r="C3" s="40">
        <v>1216886</v>
      </c>
      <c r="D3" s="40">
        <v>1216886</v>
      </c>
    </row>
    <row r="4" spans="1:4" x14ac:dyDescent="0.25">
      <c r="A4" s="43" t="s">
        <v>18</v>
      </c>
      <c r="B4" s="40"/>
      <c r="C4" s="40">
        <v>4084284</v>
      </c>
      <c r="D4" s="40">
        <v>4084284</v>
      </c>
    </row>
    <row r="5" spans="1:4" x14ac:dyDescent="0.25">
      <c r="A5" s="43" t="s">
        <v>71</v>
      </c>
      <c r="B5" s="40">
        <v>1773685</v>
      </c>
      <c r="C5" s="40">
        <f>D5-B5</f>
        <v>5573879</v>
      </c>
      <c r="D5" s="40">
        <v>7347564</v>
      </c>
    </row>
    <row r="6" spans="1:4" x14ac:dyDescent="0.25">
      <c r="A6" s="43" t="s">
        <v>12</v>
      </c>
      <c r="B6" s="40"/>
      <c r="C6" s="40">
        <v>2952884</v>
      </c>
      <c r="D6" s="40">
        <v>2952884</v>
      </c>
    </row>
    <row r="7" spans="1:4" x14ac:dyDescent="0.25">
      <c r="A7" s="43"/>
      <c r="B7" s="40"/>
      <c r="C7" s="40"/>
      <c r="D7" s="59">
        <f>SUM(D2:D6)</f>
        <v>34710477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9" sqref="B19"/>
    </sheetView>
  </sheetViews>
  <sheetFormatPr baseColWidth="10" defaultRowHeight="15" x14ac:dyDescent="0.25"/>
  <cols>
    <col min="1" max="1" width="15.28515625" bestFit="1" customWidth="1"/>
    <col min="2" max="2" width="12.5703125" bestFit="1" customWidth="1"/>
    <col min="3" max="3" width="13.5703125" bestFit="1" customWidth="1"/>
    <col min="4" max="4" width="15.5703125" bestFit="1" customWidth="1"/>
  </cols>
  <sheetData>
    <row r="1" spans="1:4" x14ac:dyDescent="0.25">
      <c r="A1" s="42" t="s">
        <v>0</v>
      </c>
      <c r="B1" s="42" t="s">
        <v>68</v>
      </c>
      <c r="C1" s="42" t="s">
        <v>69</v>
      </c>
      <c r="D1" s="42" t="s">
        <v>70</v>
      </c>
    </row>
    <row r="2" spans="1:4" x14ac:dyDescent="0.25">
      <c r="A2" s="43" t="s">
        <v>3</v>
      </c>
      <c r="B2" s="40"/>
      <c r="C2" s="40">
        <v>24603112</v>
      </c>
      <c r="D2" s="40">
        <f>C2</f>
        <v>24603112</v>
      </c>
    </row>
    <row r="3" spans="1:4" x14ac:dyDescent="0.25">
      <c r="A3" s="43" t="s">
        <v>6</v>
      </c>
      <c r="B3" s="40"/>
      <c r="C3" s="40">
        <v>1401736</v>
      </c>
      <c r="D3" s="40">
        <f t="shared" ref="D3:D4" si="0">C3</f>
        <v>1401736</v>
      </c>
    </row>
    <row r="4" spans="1:4" x14ac:dyDescent="0.25">
      <c r="A4" s="43" t="s">
        <v>18</v>
      </c>
      <c r="B4" s="40"/>
      <c r="C4" s="40">
        <v>5283451</v>
      </c>
      <c r="D4" s="40">
        <f t="shared" si="0"/>
        <v>5283451</v>
      </c>
    </row>
    <row r="5" spans="1:4" x14ac:dyDescent="0.25">
      <c r="A5" s="43" t="s">
        <v>71</v>
      </c>
      <c r="B5" s="40">
        <v>1378</v>
      </c>
      <c r="C5" s="60">
        <f>D5-B5</f>
        <v>8172835</v>
      </c>
      <c r="D5" s="40">
        <v>8174213</v>
      </c>
    </row>
    <row r="6" spans="1:4" x14ac:dyDescent="0.25">
      <c r="A6" s="43" t="s">
        <v>12</v>
      </c>
      <c r="B6" s="40"/>
      <c r="C6" s="40">
        <v>3193520</v>
      </c>
      <c r="D6" s="40">
        <f>C6</f>
        <v>3193520</v>
      </c>
    </row>
    <row r="7" spans="1:4" x14ac:dyDescent="0.25">
      <c r="A7" s="43"/>
      <c r="B7" s="40"/>
      <c r="C7" s="40"/>
      <c r="D7" s="59">
        <f>SUM(D2:D6)</f>
        <v>42656032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>
      <selection activeCell="C6" sqref="C6"/>
    </sheetView>
  </sheetViews>
  <sheetFormatPr baseColWidth="10" defaultRowHeight="13.5" x14ac:dyDescent="0.25"/>
  <cols>
    <col min="1" max="1" width="10.7109375" style="80" customWidth="1"/>
    <col min="2" max="2" width="13.28515625" style="80" customWidth="1"/>
    <col min="3" max="3" width="12.28515625" style="80" bestFit="1" customWidth="1"/>
    <col min="4" max="12" width="8.7109375" style="80" bestFit="1" customWidth="1"/>
    <col min="13" max="13" width="9.28515625" style="80" bestFit="1" customWidth="1"/>
    <col min="14" max="15" width="8.7109375" style="80" bestFit="1" customWidth="1"/>
    <col min="16" max="16" width="9.5703125" style="80" bestFit="1" customWidth="1"/>
    <col min="17" max="17" width="8.7109375" style="80" bestFit="1" customWidth="1"/>
    <col min="18" max="18" width="11.42578125" style="80"/>
    <col min="19" max="20" width="8.7109375" style="80" bestFit="1" customWidth="1"/>
    <col min="21" max="16384" width="11.42578125" style="80"/>
  </cols>
  <sheetData>
    <row r="1" spans="1:36" ht="25.5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107</v>
      </c>
      <c r="P1" s="45" t="s">
        <v>86</v>
      </c>
    </row>
    <row r="2" spans="1:36" x14ac:dyDescent="0.25">
      <c r="A2" s="138" t="s">
        <v>3</v>
      </c>
      <c r="B2" s="138" t="s">
        <v>94</v>
      </c>
      <c r="C2" s="47" t="s">
        <v>88</v>
      </c>
      <c r="D2" s="64">
        <v>4259936</v>
      </c>
      <c r="E2" s="64">
        <v>3702968</v>
      </c>
      <c r="F2" s="64">
        <v>3912111</v>
      </c>
      <c r="G2" s="64">
        <v>3691856</v>
      </c>
      <c r="H2" s="64">
        <v>3710629</v>
      </c>
      <c r="I2" s="64">
        <v>3527659</v>
      </c>
      <c r="J2" s="64">
        <v>3327726</v>
      </c>
      <c r="K2" s="64">
        <v>3462933</v>
      </c>
      <c r="L2" s="64">
        <v>3159969</v>
      </c>
      <c r="M2" s="64">
        <v>3206965</v>
      </c>
      <c r="N2" s="64">
        <v>3396649</v>
      </c>
      <c r="O2" s="64">
        <v>3382091</v>
      </c>
      <c r="P2" s="65">
        <f>SUM(D2:O2)</f>
        <v>42741492</v>
      </c>
    </row>
    <row r="3" spans="1:36" x14ac:dyDescent="0.25">
      <c r="A3" s="137"/>
      <c r="B3" s="137"/>
      <c r="C3" s="47" t="s">
        <v>89</v>
      </c>
      <c r="D3" s="64">
        <v>0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5">
        <f t="shared" ref="P3:P32" si="0">SUM(D3:O3)</f>
        <v>0</v>
      </c>
    </row>
    <row r="4" spans="1:36" x14ac:dyDescent="0.25">
      <c r="A4" s="137"/>
      <c r="B4" s="139"/>
      <c r="C4" s="47" t="s">
        <v>90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5">
        <f t="shared" si="0"/>
        <v>0</v>
      </c>
    </row>
    <row r="5" spans="1:36" x14ac:dyDescent="0.25">
      <c r="A5" s="137"/>
      <c r="B5" s="138" t="s">
        <v>105</v>
      </c>
      <c r="C5" s="47" t="s">
        <v>88</v>
      </c>
      <c r="D5" s="64">
        <v>435039</v>
      </c>
      <c r="E5" s="64">
        <v>637973</v>
      </c>
      <c r="F5" s="64">
        <v>1259997</v>
      </c>
      <c r="G5" s="64">
        <v>1144212</v>
      </c>
      <c r="H5" s="64">
        <v>1083471</v>
      </c>
      <c r="I5" s="64">
        <v>903765</v>
      </c>
      <c r="J5" s="64">
        <v>743642</v>
      </c>
      <c r="K5" s="64">
        <v>737813</v>
      </c>
      <c r="L5" s="64">
        <v>664475</v>
      </c>
      <c r="M5" s="64">
        <v>620575</v>
      </c>
      <c r="N5" s="64">
        <v>475883</v>
      </c>
      <c r="O5" s="64">
        <v>432117</v>
      </c>
      <c r="P5" s="65">
        <f t="shared" si="0"/>
        <v>9138962</v>
      </c>
    </row>
    <row r="6" spans="1:36" x14ac:dyDescent="0.25">
      <c r="A6" s="137"/>
      <c r="B6" s="137"/>
      <c r="C6" s="47" t="s">
        <v>89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1434</v>
      </c>
      <c r="O6" s="64">
        <v>896</v>
      </c>
      <c r="P6" s="65">
        <f t="shared" si="0"/>
        <v>2330</v>
      </c>
    </row>
    <row r="7" spans="1:36" x14ac:dyDescent="0.25">
      <c r="A7" s="137"/>
      <c r="B7" s="139"/>
      <c r="C7" s="47" t="s">
        <v>90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5">
        <f t="shared" si="0"/>
        <v>0</v>
      </c>
    </row>
    <row r="8" spans="1:36" s="81" customFormat="1" x14ac:dyDescent="0.25">
      <c r="A8" s="137"/>
      <c r="B8" s="143" t="s">
        <v>95</v>
      </c>
      <c r="C8" s="61" t="s">
        <v>88</v>
      </c>
      <c r="D8" s="64">
        <v>1957576</v>
      </c>
      <c r="E8" s="64">
        <v>1647713</v>
      </c>
      <c r="F8" s="64">
        <v>1836980</v>
      </c>
      <c r="G8" s="64">
        <v>1569515</v>
      </c>
      <c r="H8" s="64">
        <v>1617453</v>
      </c>
      <c r="I8" s="64">
        <v>1816681</v>
      </c>
      <c r="J8" s="72">
        <v>1663587</v>
      </c>
      <c r="K8" s="72">
        <v>1890746</v>
      </c>
      <c r="L8" s="64">
        <v>1758081</v>
      </c>
      <c r="M8" s="64">
        <v>1641236</v>
      </c>
      <c r="N8" s="64">
        <v>1495931</v>
      </c>
      <c r="O8" s="64">
        <v>1454240</v>
      </c>
      <c r="P8" s="65">
        <f t="shared" si="0"/>
        <v>20349739</v>
      </c>
      <c r="S8" s="69"/>
    </row>
    <row r="9" spans="1:36" x14ac:dyDescent="0.25">
      <c r="A9" s="137"/>
      <c r="B9" s="143"/>
      <c r="C9" s="47" t="s">
        <v>89</v>
      </c>
      <c r="D9" s="64">
        <v>4539</v>
      </c>
      <c r="E9" s="64">
        <v>2544</v>
      </c>
      <c r="F9" s="64">
        <v>4713</v>
      </c>
      <c r="G9" s="64">
        <v>2783</v>
      </c>
      <c r="H9" s="64">
        <v>2506</v>
      </c>
      <c r="I9" s="64">
        <v>3475</v>
      </c>
      <c r="J9" s="64">
        <v>3706</v>
      </c>
      <c r="K9" s="64">
        <v>4580</v>
      </c>
      <c r="L9" s="64">
        <v>4472</v>
      </c>
      <c r="M9" s="64">
        <v>3972</v>
      </c>
      <c r="N9" s="64">
        <v>4545</v>
      </c>
      <c r="O9" s="64">
        <v>3717</v>
      </c>
      <c r="P9" s="65">
        <f t="shared" si="0"/>
        <v>45552</v>
      </c>
      <c r="Q9" s="81"/>
      <c r="R9" s="81"/>
      <c r="S9" s="69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</row>
    <row r="10" spans="1:36" x14ac:dyDescent="0.25">
      <c r="A10" s="139"/>
      <c r="B10" s="143"/>
      <c r="C10" s="47" t="s">
        <v>90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5">
        <f t="shared" si="0"/>
        <v>0</v>
      </c>
      <c r="Q10" s="81"/>
      <c r="R10" s="81"/>
      <c r="S10" s="69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</row>
    <row r="11" spans="1:36" s="81" customFormat="1" x14ac:dyDescent="0.25">
      <c r="A11" s="161" t="s">
        <v>93</v>
      </c>
      <c r="B11" s="162"/>
      <c r="C11" s="163"/>
      <c r="D11" s="66">
        <f>(D8+D5+D2)-(D3+D4+D6+D7+D9+D10)</f>
        <v>6648012</v>
      </c>
      <c r="E11" s="66">
        <f t="shared" ref="E11:O11" si="1">(E8+E5+E2)-(E3+E4+E6+E7+E9+E10)</f>
        <v>5986110</v>
      </c>
      <c r="F11" s="66">
        <f t="shared" si="1"/>
        <v>7004375</v>
      </c>
      <c r="G11" s="66">
        <f t="shared" si="1"/>
        <v>6402800</v>
      </c>
      <c r="H11" s="66">
        <f t="shared" si="1"/>
        <v>6409047</v>
      </c>
      <c r="I11" s="66">
        <f t="shared" si="1"/>
        <v>6244630</v>
      </c>
      <c r="J11" s="66">
        <f t="shared" si="1"/>
        <v>5731249</v>
      </c>
      <c r="K11" s="66">
        <f t="shared" si="1"/>
        <v>6086912</v>
      </c>
      <c r="L11" s="66">
        <f t="shared" si="1"/>
        <v>5578053</v>
      </c>
      <c r="M11" s="66">
        <f t="shared" si="1"/>
        <v>5464804</v>
      </c>
      <c r="N11" s="66">
        <f t="shared" si="1"/>
        <v>5362484</v>
      </c>
      <c r="O11" s="66">
        <f t="shared" si="1"/>
        <v>5263835</v>
      </c>
      <c r="P11" s="66">
        <f t="shared" si="0"/>
        <v>72182311</v>
      </c>
      <c r="Q11" s="69"/>
      <c r="R11" s="69"/>
    </row>
    <row r="12" spans="1:36" x14ac:dyDescent="0.25">
      <c r="A12" s="143" t="s">
        <v>6</v>
      </c>
      <c r="B12" s="143" t="s">
        <v>108</v>
      </c>
      <c r="C12" s="47" t="s">
        <v>88</v>
      </c>
      <c r="D12" s="64">
        <v>2658772</v>
      </c>
      <c r="E12" s="64">
        <v>2377929</v>
      </c>
      <c r="F12" s="64">
        <v>2538749</v>
      </c>
      <c r="G12" s="64">
        <v>2549866</v>
      </c>
      <c r="H12" s="64">
        <v>2592428</v>
      </c>
      <c r="I12" s="64">
        <v>2408492</v>
      </c>
      <c r="J12" s="64">
        <v>2258450</v>
      </c>
      <c r="K12" s="64">
        <v>2455560</v>
      </c>
      <c r="L12" s="64">
        <v>2320119</v>
      </c>
      <c r="M12" s="64">
        <v>2160272</v>
      </c>
      <c r="N12" s="64">
        <v>2131133</v>
      </c>
      <c r="O12" s="64">
        <v>2197760</v>
      </c>
      <c r="P12" s="65">
        <f t="shared" si="0"/>
        <v>28649530</v>
      </c>
      <c r="Q12" s="81"/>
      <c r="R12" s="81"/>
      <c r="S12" s="69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</row>
    <row r="13" spans="1:36" x14ac:dyDescent="0.25">
      <c r="A13" s="143"/>
      <c r="B13" s="143"/>
      <c r="C13" s="47" t="s">
        <v>89</v>
      </c>
      <c r="D13" s="64">
        <v>6984</v>
      </c>
      <c r="E13" s="64">
        <v>5213</v>
      </c>
      <c r="F13" s="64">
        <v>8792</v>
      </c>
      <c r="G13" s="64">
        <v>6828</v>
      </c>
      <c r="H13" s="64">
        <v>5226</v>
      </c>
      <c r="I13" s="64">
        <v>4873</v>
      </c>
      <c r="J13" s="64">
        <v>6773</v>
      </c>
      <c r="K13" s="64">
        <v>8089</v>
      </c>
      <c r="L13" s="64">
        <v>6877</v>
      </c>
      <c r="M13" s="64">
        <v>8703</v>
      </c>
      <c r="N13" s="64">
        <v>8948</v>
      </c>
      <c r="O13" s="64">
        <v>8087</v>
      </c>
      <c r="P13" s="65">
        <f t="shared" si="0"/>
        <v>85393</v>
      </c>
      <c r="Q13" s="81"/>
      <c r="R13" s="81"/>
      <c r="S13" s="69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</row>
    <row r="14" spans="1:36" x14ac:dyDescent="0.25">
      <c r="A14" s="143"/>
      <c r="B14" s="143"/>
      <c r="C14" s="47" t="s">
        <v>90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/>
      <c r="N14" s="64">
        <v>0</v>
      </c>
      <c r="O14" s="64">
        <v>0</v>
      </c>
      <c r="P14" s="65">
        <f t="shared" si="0"/>
        <v>0</v>
      </c>
      <c r="Q14" s="81"/>
      <c r="R14" s="81"/>
      <c r="S14" s="69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</row>
    <row r="15" spans="1:36" s="81" customFormat="1" x14ac:dyDescent="0.25">
      <c r="A15" s="157" t="s">
        <v>93</v>
      </c>
      <c r="B15" s="158"/>
      <c r="C15" s="159"/>
      <c r="D15" s="66">
        <f>D12-(D13+D14)</f>
        <v>2651788</v>
      </c>
      <c r="E15" s="66">
        <f t="shared" ref="E15:O15" si="2">E12-(E13+E14)</f>
        <v>2372716</v>
      </c>
      <c r="F15" s="66">
        <f t="shared" si="2"/>
        <v>2529957</v>
      </c>
      <c r="G15" s="66">
        <f t="shared" si="2"/>
        <v>2543038</v>
      </c>
      <c r="H15" s="66">
        <f t="shared" si="2"/>
        <v>2587202</v>
      </c>
      <c r="I15" s="66">
        <f t="shared" si="2"/>
        <v>2403619</v>
      </c>
      <c r="J15" s="66">
        <f t="shared" si="2"/>
        <v>2251677</v>
      </c>
      <c r="K15" s="66">
        <f t="shared" si="2"/>
        <v>2447471</v>
      </c>
      <c r="L15" s="66">
        <f t="shared" si="2"/>
        <v>2313242</v>
      </c>
      <c r="M15" s="66">
        <f t="shared" si="2"/>
        <v>2151569</v>
      </c>
      <c r="N15" s="66">
        <f t="shared" si="2"/>
        <v>2122185</v>
      </c>
      <c r="O15" s="66">
        <f t="shared" si="2"/>
        <v>2189673</v>
      </c>
      <c r="P15" s="66">
        <f t="shared" si="0"/>
        <v>28564137</v>
      </c>
    </row>
    <row r="16" spans="1:36" x14ac:dyDescent="0.25">
      <c r="A16" s="143" t="s">
        <v>18</v>
      </c>
      <c r="B16" s="143" t="s">
        <v>95</v>
      </c>
      <c r="C16" s="47" t="s">
        <v>88</v>
      </c>
      <c r="D16" s="64">
        <v>232782</v>
      </c>
      <c r="E16" s="72">
        <v>183192</v>
      </c>
      <c r="F16" s="64">
        <v>244035</v>
      </c>
      <c r="G16" s="64">
        <v>280698</v>
      </c>
      <c r="H16" s="64">
        <v>353097</v>
      </c>
      <c r="I16" s="64">
        <v>365102</v>
      </c>
      <c r="J16" s="64">
        <v>372998</v>
      </c>
      <c r="K16" s="64">
        <v>410248</v>
      </c>
      <c r="L16" s="64">
        <v>378793</v>
      </c>
      <c r="M16" s="64">
        <v>317043</v>
      </c>
      <c r="N16" s="64">
        <v>124169</v>
      </c>
      <c r="O16" s="64">
        <v>160122</v>
      </c>
      <c r="P16" s="65">
        <f t="shared" si="0"/>
        <v>3422279</v>
      </c>
      <c r="Q16" s="81"/>
      <c r="R16" s="81"/>
      <c r="S16" s="69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</row>
    <row r="17" spans="1:36" x14ac:dyDescent="0.25">
      <c r="A17" s="143"/>
      <c r="B17" s="143"/>
      <c r="C17" s="47" t="s">
        <v>89</v>
      </c>
      <c r="D17" s="64">
        <v>444</v>
      </c>
      <c r="E17" s="72">
        <v>526</v>
      </c>
      <c r="F17" s="64">
        <v>961</v>
      </c>
      <c r="G17" s="64">
        <v>804</v>
      </c>
      <c r="H17" s="64">
        <v>740</v>
      </c>
      <c r="I17" s="64">
        <v>805</v>
      </c>
      <c r="J17" s="64">
        <v>1119</v>
      </c>
      <c r="K17" s="64">
        <v>1372</v>
      </c>
      <c r="L17" s="64">
        <v>1114</v>
      </c>
      <c r="M17" s="64">
        <v>995</v>
      </c>
      <c r="N17" s="64">
        <v>538</v>
      </c>
      <c r="O17" s="64">
        <v>598</v>
      </c>
      <c r="P17" s="65">
        <f t="shared" si="0"/>
        <v>10016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</row>
    <row r="18" spans="1:36" x14ac:dyDescent="0.25">
      <c r="A18" s="143"/>
      <c r="B18" s="143"/>
      <c r="C18" s="47" t="s">
        <v>90</v>
      </c>
      <c r="D18" s="64">
        <v>0</v>
      </c>
      <c r="E18" s="7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5">
        <f t="shared" si="0"/>
        <v>0</v>
      </c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</row>
    <row r="19" spans="1:36" s="81" customFormat="1" x14ac:dyDescent="0.25">
      <c r="A19" s="157" t="s">
        <v>93</v>
      </c>
      <c r="B19" s="158"/>
      <c r="C19" s="159"/>
      <c r="D19" s="66">
        <f>D16-(D17+D18)</f>
        <v>232338</v>
      </c>
      <c r="E19" s="66">
        <f t="shared" ref="E19:O19" si="3">E16-(E17+E18)</f>
        <v>182666</v>
      </c>
      <c r="F19" s="66">
        <f t="shared" si="3"/>
        <v>243074</v>
      </c>
      <c r="G19" s="66">
        <f t="shared" si="3"/>
        <v>279894</v>
      </c>
      <c r="H19" s="66">
        <f t="shared" si="3"/>
        <v>352357</v>
      </c>
      <c r="I19" s="66">
        <f t="shared" si="3"/>
        <v>364297</v>
      </c>
      <c r="J19" s="66">
        <f t="shared" si="3"/>
        <v>371879</v>
      </c>
      <c r="K19" s="66">
        <f t="shared" si="3"/>
        <v>408876</v>
      </c>
      <c r="L19" s="66">
        <f t="shared" si="3"/>
        <v>377679</v>
      </c>
      <c r="M19" s="66">
        <f t="shared" si="3"/>
        <v>316048</v>
      </c>
      <c r="N19" s="66">
        <f t="shared" si="3"/>
        <v>123631</v>
      </c>
      <c r="O19" s="66">
        <f t="shared" si="3"/>
        <v>159524</v>
      </c>
      <c r="P19" s="66">
        <f t="shared" si="0"/>
        <v>3412263</v>
      </c>
    </row>
    <row r="20" spans="1:36" x14ac:dyDescent="0.25">
      <c r="A20" s="143" t="s">
        <v>8</v>
      </c>
      <c r="B20" s="143" t="s">
        <v>94</v>
      </c>
      <c r="C20" s="47" t="s">
        <v>88</v>
      </c>
      <c r="D20" s="64">
        <v>85746</v>
      </c>
      <c r="E20" s="64">
        <v>75016</v>
      </c>
      <c r="F20" s="64">
        <v>72395</v>
      </c>
      <c r="G20" s="64">
        <v>25945</v>
      </c>
      <c r="H20" s="64">
        <v>20884</v>
      </c>
      <c r="I20" s="64">
        <v>7493</v>
      </c>
      <c r="J20" s="64">
        <v>6832</v>
      </c>
      <c r="K20" s="64">
        <v>16030</v>
      </c>
      <c r="L20" s="64">
        <v>344702</v>
      </c>
      <c r="M20" s="64">
        <v>632248</v>
      </c>
      <c r="N20" s="64">
        <v>620386</v>
      </c>
      <c r="O20" s="64">
        <v>634431</v>
      </c>
      <c r="P20" s="65">
        <f t="shared" si="0"/>
        <v>2542108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</row>
    <row r="21" spans="1:36" x14ac:dyDescent="0.25">
      <c r="A21" s="143"/>
      <c r="B21" s="143"/>
      <c r="C21" s="47" t="s">
        <v>89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5">
        <f t="shared" si="0"/>
        <v>0</v>
      </c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</row>
    <row r="22" spans="1:36" x14ac:dyDescent="0.25">
      <c r="A22" s="143"/>
      <c r="B22" s="143"/>
      <c r="C22" s="47" t="s">
        <v>90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5">
        <f t="shared" si="0"/>
        <v>0</v>
      </c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</row>
    <row r="23" spans="1:36" s="81" customFormat="1" x14ac:dyDescent="0.25">
      <c r="A23" s="157" t="s">
        <v>93</v>
      </c>
      <c r="B23" s="158"/>
      <c r="C23" s="159"/>
      <c r="D23" s="66">
        <f>D20-(D21+D22)</f>
        <v>85746</v>
      </c>
      <c r="E23" s="66">
        <f t="shared" ref="E23:O23" si="4">E20-(E21+E22)</f>
        <v>75016</v>
      </c>
      <c r="F23" s="66">
        <f t="shared" si="4"/>
        <v>72395</v>
      </c>
      <c r="G23" s="66">
        <f t="shared" si="4"/>
        <v>25945</v>
      </c>
      <c r="H23" s="66">
        <f t="shared" si="4"/>
        <v>20884</v>
      </c>
      <c r="I23" s="66">
        <f t="shared" si="4"/>
        <v>7493</v>
      </c>
      <c r="J23" s="66">
        <f t="shared" si="4"/>
        <v>6832</v>
      </c>
      <c r="K23" s="66">
        <f t="shared" si="4"/>
        <v>16030</v>
      </c>
      <c r="L23" s="66">
        <f t="shared" si="4"/>
        <v>344702</v>
      </c>
      <c r="M23" s="66">
        <f t="shared" si="4"/>
        <v>632248</v>
      </c>
      <c r="N23" s="66">
        <f t="shared" si="4"/>
        <v>620386</v>
      </c>
      <c r="O23" s="66">
        <f t="shared" si="4"/>
        <v>634431</v>
      </c>
      <c r="P23" s="66">
        <f t="shared" si="0"/>
        <v>2542108</v>
      </c>
    </row>
    <row r="24" spans="1:36" s="81" customFormat="1" x14ac:dyDescent="0.25">
      <c r="A24" s="174" t="s">
        <v>12</v>
      </c>
      <c r="B24" s="125" t="s">
        <v>96</v>
      </c>
      <c r="C24" s="47" t="s">
        <v>88</v>
      </c>
      <c r="D24" s="64">
        <v>0</v>
      </c>
      <c r="E24" s="64">
        <v>0</v>
      </c>
      <c r="F24" s="64">
        <v>0</v>
      </c>
      <c r="G24" s="64">
        <v>0</v>
      </c>
      <c r="H24" s="64">
        <v>107439</v>
      </c>
      <c r="I24" s="64">
        <v>202113</v>
      </c>
      <c r="J24" s="64">
        <v>174634</v>
      </c>
      <c r="K24" s="64">
        <v>301937</v>
      </c>
      <c r="L24" s="64">
        <v>359098</v>
      </c>
      <c r="M24" s="64">
        <v>346151</v>
      </c>
      <c r="N24" s="64">
        <v>265607</v>
      </c>
      <c r="O24" s="64">
        <v>348638</v>
      </c>
      <c r="P24" s="65">
        <f t="shared" si="0"/>
        <v>2105617</v>
      </c>
    </row>
    <row r="25" spans="1:36" s="81" customFormat="1" x14ac:dyDescent="0.25">
      <c r="A25" s="134"/>
      <c r="B25" s="126"/>
      <c r="C25" s="47" t="s">
        <v>89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1100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5">
        <f t="shared" si="0"/>
        <v>1100</v>
      </c>
    </row>
    <row r="26" spans="1:36" s="81" customFormat="1" x14ac:dyDescent="0.25">
      <c r="A26" s="134"/>
      <c r="B26" s="131"/>
      <c r="C26" s="47" t="s">
        <v>90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5">
        <f t="shared" si="0"/>
        <v>0</v>
      </c>
    </row>
    <row r="27" spans="1:36" x14ac:dyDescent="0.25">
      <c r="A27" s="134"/>
      <c r="B27" s="143" t="s">
        <v>97</v>
      </c>
      <c r="C27" s="47" t="s">
        <v>88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13074</v>
      </c>
      <c r="K27" s="64">
        <v>0</v>
      </c>
      <c r="L27" s="64">
        <v>1009</v>
      </c>
      <c r="M27" s="64">
        <v>17616</v>
      </c>
      <c r="N27" s="64">
        <v>41862</v>
      </c>
      <c r="O27" s="64">
        <v>14245</v>
      </c>
      <c r="P27" s="65">
        <f t="shared" si="0"/>
        <v>87806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</row>
    <row r="28" spans="1:36" x14ac:dyDescent="0.25">
      <c r="A28" s="134"/>
      <c r="B28" s="143"/>
      <c r="C28" s="47" t="s">
        <v>89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72">
        <v>0</v>
      </c>
      <c r="O28" s="72">
        <v>0</v>
      </c>
      <c r="P28" s="65">
        <f t="shared" si="0"/>
        <v>0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</row>
    <row r="29" spans="1:36" x14ac:dyDescent="0.25">
      <c r="A29" s="140"/>
      <c r="B29" s="143"/>
      <c r="C29" s="47" t="s">
        <v>90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72">
        <v>0</v>
      </c>
      <c r="O29" s="72">
        <v>0</v>
      </c>
      <c r="P29" s="65">
        <f t="shared" si="0"/>
        <v>0</v>
      </c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</row>
    <row r="30" spans="1:36" s="81" customFormat="1" x14ac:dyDescent="0.25">
      <c r="A30" s="157" t="s">
        <v>93</v>
      </c>
      <c r="B30" s="158"/>
      <c r="C30" s="159"/>
      <c r="D30" s="82">
        <v>0</v>
      </c>
      <c r="E30" s="82">
        <f t="shared" ref="E30:G30" si="5">(E24+E27)-(E25+E26+E28+E29)</f>
        <v>0</v>
      </c>
      <c r="F30" s="82">
        <f t="shared" si="5"/>
        <v>0</v>
      </c>
      <c r="G30" s="82">
        <f t="shared" si="5"/>
        <v>0</v>
      </c>
      <c r="H30" s="82">
        <f>(H24+H27)-(H25+H26+H28+H29)</f>
        <v>107439</v>
      </c>
      <c r="I30" s="82">
        <f t="shared" ref="I30:O30" si="6">(I24+I27)-(I25+I26+I28+I29)</f>
        <v>202113</v>
      </c>
      <c r="J30" s="82">
        <f t="shared" si="6"/>
        <v>186608</v>
      </c>
      <c r="K30" s="82">
        <f t="shared" si="6"/>
        <v>301937</v>
      </c>
      <c r="L30" s="82">
        <f t="shared" si="6"/>
        <v>360107</v>
      </c>
      <c r="M30" s="82">
        <f t="shared" si="6"/>
        <v>363767</v>
      </c>
      <c r="N30" s="82">
        <f t="shared" si="6"/>
        <v>307469</v>
      </c>
      <c r="O30" s="82">
        <f t="shared" si="6"/>
        <v>362883</v>
      </c>
      <c r="P30" s="66">
        <f t="shared" si="0"/>
        <v>2192323</v>
      </c>
    </row>
    <row r="31" spans="1:36" x14ac:dyDescent="0.25">
      <c r="A31" s="145" t="s">
        <v>98</v>
      </c>
      <c r="B31" s="146"/>
      <c r="C31" s="147"/>
      <c r="D31" s="73">
        <f>D27+D20+D16+D12+D8+D5+D2</f>
        <v>9629851</v>
      </c>
      <c r="E31" s="73">
        <f t="shared" ref="E31:G31" si="7">E27+E20+E16+E12+E8+E5+E2</f>
        <v>8624791</v>
      </c>
      <c r="F31" s="73">
        <f t="shared" si="7"/>
        <v>9864267</v>
      </c>
      <c r="G31" s="73">
        <f t="shared" si="7"/>
        <v>9262092</v>
      </c>
      <c r="H31" s="73">
        <f>H27+H20+H16+H12+H8+H5+H2+H24</f>
        <v>9485401</v>
      </c>
      <c r="I31" s="73">
        <f t="shared" ref="I31:O31" si="8">I27+I20+I16+I12+I8+I5+I2+I24</f>
        <v>9231305</v>
      </c>
      <c r="J31" s="73">
        <f t="shared" si="8"/>
        <v>8560943</v>
      </c>
      <c r="K31" s="73">
        <f t="shared" si="8"/>
        <v>9275267</v>
      </c>
      <c r="L31" s="73">
        <f t="shared" si="8"/>
        <v>8986246</v>
      </c>
      <c r="M31" s="73">
        <f t="shared" si="8"/>
        <v>8942106</v>
      </c>
      <c r="N31" s="73">
        <f t="shared" si="8"/>
        <v>8551620</v>
      </c>
      <c r="O31" s="73">
        <f t="shared" si="8"/>
        <v>8623644</v>
      </c>
      <c r="P31" s="73">
        <f t="shared" si="0"/>
        <v>109037533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</row>
    <row r="32" spans="1:36" x14ac:dyDescent="0.25">
      <c r="A32" s="144" t="s">
        <v>99</v>
      </c>
      <c r="B32" s="144"/>
      <c r="C32" s="144"/>
      <c r="D32" s="74">
        <f>D30+D23+D19+D15+D11</f>
        <v>9617884</v>
      </c>
      <c r="E32" s="74">
        <f t="shared" ref="E32:O32" si="9">E30+E23+E19+E15+E11</f>
        <v>8616508</v>
      </c>
      <c r="F32" s="74">
        <f t="shared" si="9"/>
        <v>9849801</v>
      </c>
      <c r="G32" s="74">
        <f t="shared" si="9"/>
        <v>9251677</v>
      </c>
      <c r="H32" s="74">
        <f t="shared" si="9"/>
        <v>9476929</v>
      </c>
      <c r="I32" s="74">
        <f t="shared" si="9"/>
        <v>9222152</v>
      </c>
      <c r="J32" s="74">
        <f t="shared" si="9"/>
        <v>8548245</v>
      </c>
      <c r="K32" s="74">
        <f t="shared" si="9"/>
        <v>9261226</v>
      </c>
      <c r="L32" s="74">
        <f t="shared" si="9"/>
        <v>8973783</v>
      </c>
      <c r="M32" s="74">
        <f t="shared" si="9"/>
        <v>8928436</v>
      </c>
      <c r="N32" s="74">
        <f t="shared" si="9"/>
        <v>8536155</v>
      </c>
      <c r="O32" s="83">
        <f t="shared" si="9"/>
        <v>8610346</v>
      </c>
      <c r="P32" s="84">
        <f t="shared" si="0"/>
        <v>108893142</v>
      </c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</row>
  </sheetData>
  <mergeCells count="20">
    <mergeCell ref="A32:C32"/>
    <mergeCell ref="A23:C23"/>
    <mergeCell ref="A24:A29"/>
    <mergeCell ref="B24:B26"/>
    <mergeCell ref="B27:B29"/>
    <mergeCell ref="A30:C30"/>
    <mergeCell ref="A31:C31"/>
    <mergeCell ref="A15:C15"/>
    <mergeCell ref="A16:A18"/>
    <mergeCell ref="B16:B18"/>
    <mergeCell ref="A19:C19"/>
    <mergeCell ref="A20:A22"/>
    <mergeCell ref="B20:B22"/>
    <mergeCell ref="A12:A14"/>
    <mergeCell ref="B12:B14"/>
    <mergeCell ref="A2:A10"/>
    <mergeCell ref="B2:B4"/>
    <mergeCell ref="B5:B7"/>
    <mergeCell ref="B8:B10"/>
    <mergeCell ref="A11:C1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11" workbookViewId="0">
      <selection activeCell="F36" sqref="F36"/>
    </sheetView>
  </sheetViews>
  <sheetFormatPr baseColWidth="10" defaultRowHeight="13.5" x14ac:dyDescent="0.25"/>
  <cols>
    <col min="1" max="1" width="10.7109375" style="80" customWidth="1"/>
    <col min="2" max="2" width="13.28515625" style="80" customWidth="1"/>
    <col min="3" max="3" width="12.28515625" style="80" bestFit="1" customWidth="1"/>
    <col min="4" max="12" width="8.7109375" style="80" bestFit="1" customWidth="1"/>
    <col min="13" max="13" width="9.28515625" style="80" bestFit="1" customWidth="1"/>
    <col min="14" max="15" width="8.7109375" style="80" bestFit="1" customWidth="1"/>
    <col min="16" max="16" width="9.5703125" style="80" bestFit="1" customWidth="1"/>
    <col min="17" max="17" width="11" style="80" bestFit="1" customWidth="1"/>
    <col min="18" max="18" width="11.42578125" style="80"/>
    <col min="19" max="20" width="8.7109375" style="80" bestFit="1" customWidth="1"/>
    <col min="21" max="16384" width="11.42578125" style="80"/>
  </cols>
  <sheetData>
    <row r="1" spans="1:36" ht="15" customHeight="1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107</v>
      </c>
      <c r="P1" s="45" t="s">
        <v>86</v>
      </c>
    </row>
    <row r="2" spans="1:36" x14ac:dyDescent="0.25">
      <c r="A2" s="138" t="s">
        <v>3</v>
      </c>
      <c r="B2" s="138" t="s">
        <v>94</v>
      </c>
      <c r="C2" s="47" t="s">
        <v>88</v>
      </c>
      <c r="D2" s="64">
        <v>3167494</v>
      </c>
      <c r="E2" s="64">
        <v>2702256</v>
      </c>
      <c r="F2" s="64">
        <v>2840529</v>
      </c>
      <c r="G2" s="64">
        <v>2734688</v>
      </c>
      <c r="H2" s="64">
        <v>2738497</v>
      </c>
      <c r="I2" s="64">
        <v>2626194</v>
      </c>
      <c r="J2" s="64">
        <v>2641267</v>
      </c>
      <c r="K2" s="64">
        <v>2409475</v>
      </c>
      <c r="L2" s="72">
        <v>2242277</v>
      </c>
      <c r="M2" s="64">
        <v>2405794</v>
      </c>
      <c r="N2" s="64">
        <v>2211850</v>
      </c>
      <c r="O2" s="64">
        <v>2369251</v>
      </c>
      <c r="P2" s="65">
        <f>SUM(D2:O2)</f>
        <v>31089572</v>
      </c>
    </row>
    <row r="3" spans="1:36" x14ac:dyDescent="0.25">
      <c r="A3" s="137"/>
      <c r="B3" s="137"/>
      <c r="C3" s="47" t="s">
        <v>89</v>
      </c>
      <c r="D3" s="64">
        <v>0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72">
        <v>0</v>
      </c>
      <c r="M3" s="64">
        <v>0</v>
      </c>
      <c r="N3" s="64">
        <v>10</v>
      </c>
      <c r="O3" s="64">
        <v>0</v>
      </c>
      <c r="P3" s="65">
        <f t="shared" ref="P3:P32" si="0">SUM(D3:O3)</f>
        <v>10</v>
      </c>
    </row>
    <row r="4" spans="1:36" x14ac:dyDescent="0.25">
      <c r="A4" s="137"/>
      <c r="B4" s="139"/>
      <c r="C4" s="47" t="s">
        <v>90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72">
        <v>0</v>
      </c>
      <c r="M4" s="64">
        <v>0</v>
      </c>
      <c r="N4" s="64">
        <v>0</v>
      </c>
      <c r="O4" s="64">
        <v>0</v>
      </c>
      <c r="P4" s="65">
        <f t="shared" si="0"/>
        <v>0</v>
      </c>
    </row>
    <row r="5" spans="1:36" x14ac:dyDescent="0.25">
      <c r="A5" s="137"/>
      <c r="B5" s="138" t="s">
        <v>105</v>
      </c>
      <c r="C5" s="47" t="s">
        <v>88</v>
      </c>
      <c r="D5" s="64">
        <v>385154</v>
      </c>
      <c r="E5" s="64">
        <v>313329</v>
      </c>
      <c r="F5" s="64">
        <v>380214</v>
      </c>
      <c r="G5" s="64">
        <v>266053</v>
      </c>
      <c r="H5" s="64">
        <v>229385</v>
      </c>
      <c r="I5" s="64">
        <v>306972</v>
      </c>
      <c r="J5" s="64">
        <v>556852</v>
      </c>
      <c r="K5" s="64">
        <v>544930</v>
      </c>
      <c r="L5" s="64">
        <v>678359</v>
      </c>
      <c r="M5" s="64">
        <v>732437</v>
      </c>
      <c r="N5" s="64">
        <v>671327</v>
      </c>
      <c r="O5" s="64">
        <v>707064</v>
      </c>
      <c r="P5" s="65">
        <f t="shared" si="0"/>
        <v>5772076</v>
      </c>
    </row>
    <row r="6" spans="1:36" x14ac:dyDescent="0.25">
      <c r="A6" s="137"/>
      <c r="B6" s="137"/>
      <c r="C6" s="47" t="s">
        <v>89</v>
      </c>
      <c r="D6" s="64">
        <v>393</v>
      </c>
      <c r="E6" s="64">
        <v>0</v>
      </c>
      <c r="F6" s="64">
        <v>0</v>
      </c>
      <c r="G6" s="64">
        <v>0</v>
      </c>
      <c r="H6" s="64">
        <v>0</v>
      </c>
      <c r="I6" s="64">
        <v>1387</v>
      </c>
      <c r="J6" s="64">
        <v>794</v>
      </c>
      <c r="K6" s="64">
        <v>1180</v>
      </c>
      <c r="L6" s="64">
        <v>858</v>
      </c>
      <c r="M6" s="64">
        <v>942</v>
      </c>
      <c r="N6" s="64">
        <v>1482</v>
      </c>
      <c r="O6" s="64">
        <v>1500</v>
      </c>
      <c r="P6" s="65">
        <f t="shared" si="0"/>
        <v>8536</v>
      </c>
    </row>
    <row r="7" spans="1:36" x14ac:dyDescent="0.25">
      <c r="A7" s="137"/>
      <c r="B7" s="139"/>
      <c r="C7" s="47" t="s">
        <v>90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5">
        <f t="shared" si="0"/>
        <v>0</v>
      </c>
    </row>
    <row r="8" spans="1:36" s="81" customFormat="1" x14ac:dyDescent="0.25">
      <c r="A8" s="137"/>
      <c r="B8" s="143" t="s">
        <v>95</v>
      </c>
      <c r="C8" s="61" t="s">
        <v>88</v>
      </c>
      <c r="D8" s="64">
        <v>1469926</v>
      </c>
      <c r="E8" s="64">
        <v>1344572</v>
      </c>
      <c r="F8" s="64">
        <v>1445390</v>
      </c>
      <c r="G8" s="64">
        <v>1436569</v>
      </c>
      <c r="H8" s="64">
        <v>1393511</v>
      </c>
      <c r="I8" s="64">
        <v>1217084</v>
      </c>
      <c r="J8" s="72">
        <v>1455369</v>
      </c>
      <c r="K8" s="72">
        <v>1452003</v>
      </c>
      <c r="L8" s="64">
        <v>1325820</v>
      </c>
      <c r="M8" s="64">
        <v>1266367</v>
      </c>
      <c r="N8" s="64">
        <v>1118619</v>
      </c>
      <c r="O8" s="64">
        <v>1126798</v>
      </c>
      <c r="P8" s="65">
        <f t="shared" si="0"/>
        <v>16052028</v>
      </c>
      <c r="S8" s="69"/>
    </row>
    <row r="9" spans="1:36" x14ac:dyDescent="0.25">
      <c r="A9" s="137"/>
      <c r="B9" s="143"/>
      <c r="C9" s="47" t="s">
        <v>89</v>
      </c>
      <c r="D9" s="64">
        <v>5373</v>
      </c>
      <c r="E9" s="64">
        <v>5593</v>
      </c>
      <c r="F9" s="64">
        <v>6544</v>
      </c>
      <c r="G9" s="64">
        <v>6850</v>
      </c>
      <c r="H9" s="64">
        <v>5213</v>
      </c>
      <c r="I9" s="64">
        <v>4353</v>
      </c>
      <c r="J9" s="64">
        <v>3401</v>
      </c>
      <c r="K9" s="64">
        <v>3974</v>
      </c>
      <c r="L9" s="64">
        <v>1207</v>
      </c>
      <c r="M9" s="64">
        <v>1846</v>
      </c>
      <c r="N9" s="64">
        <v>2595</v>
      </c>
      <c r="O9" s="64">
        <v>3332</v>
      </c>
      <c r="P9" s="65">
        <f t="shared" si="0"/>
        <v>50281</v>
      </c>
      <c r="Q9" s="81"/>
      <c r="R9" s="81"/>
      <c r="S9" s="69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</row>
    <row r="10" spans="1:36" x14ac:dyDescent="0.25">
      <c r="A10" s="139"/>
      <c r="B10" s="143"/>
      <c r="C10" s="47" t="s">
        <v>90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5">
        <f t="shared" si="0"/>
        <v>0</v>
      </c>
      <c r="Q10" s="81"/>
      <c r="R10" s="81"/>
      <c r="S10" s="69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</row>
    <row r="11" spans="1:36" s="81" customFormat="1" x14ac:dyDescent="0.25">
      <c r="A11" s="161" t="s">
        <v>93</v>
      </c>
      <c r="B11" s="162"/>
      <c r="C11" s="163"/>
      <c r="D11" s="66">
        <f>(D8+D5+D2)-(D3+D4+D6+D7+D9+D10)</f>
        <v>5016808</v>
      </c>
      <c r="E11" s="66">
        <f t="shared" ref="E11:O11" si="1">(E8+E5+E2)-(E3+E4+E6+E7+E9+E10)</f>
        <v>4354564</v>
      </c>
      <c r="F11" s="66">
        <f t="shared" si="1"/>
        <v>4659589</v>
      </c>
      <c r="G11" s="66">
        <f t="shared" si="1"/>
        <v>4430460</v>
      </c>
      <c r="H11" s="66">
        <f t="shared" si="1"/>
        <v>4356180</v>
      </c>
      <c r="I11" s="66">
        <f t="shared" si="1"/>
        <v>4144510</v>
      </c>
      <c r="J11" s="66">
        <f t="shared" si="1"/>
        <v>4649293</v>
      </c>
      <c r="K11" s="66">
        <f t="shared" si="1"/>
        <v>4401254</v>
      </c>
      <c r="L11" s="66">
        <f t="shared" si="1"/>
        <v>4244391</v>
      </c>
      <c r="M11" s="66">
        <f t="shared" si="1"/>
        <v>4401810</v>
      </c>
      <c r="N11" s="66">
        <f t="shared" si="1"/>
        <v>3997709</v>
      </c>
      <c r="O11" s="66">
        <f t="shared" si="1"/>
        <v>4198281</v>
      </c>
      <c r="P11" s="66">
        <f t="shared" si="0"/>
        <v>52854849</v>
      </c>
      <c r="Q11" s="69"/>
      <c r="R11" s="69"/>
    </row>
    <row r="12" spans="1:36" x14ac:dyDescent="0.25">
      <c r="A12" s="143" t="s">
        <v>6</v>
      </c>
      <c r="B12" s="143" t="s">
        <v>108</v>
      </c>
      <c r="C12" s="47" t="s">
        <v>88</v>
      </c>
      <c r="D12" s="64">
        <v>2052924</v>
      </c>
      <c r="E12" s="64">
        <v>1803561</v>
      </c>
      <c r="F12" s="64">
        <v>1884606</v>
      </c>
      <c r="G12" s="64">
        <v>1781037</v>
      </c>
      <c r="H12" s="64">
        <v>1742988</v>
      </c>
      <c r="I12" s="64">
        <v>1550075</v>
      </c>
      <c r="J12" s="64">
        <v>1601995</v>
      </c>
      <c r="K12" s="64">
        <v>1417852</v>
      </c>
      <c r="L12" s="64">
        <v>1384452</v>
      </c>
      <c r="M12" s="64">
        <v>1413335</v>
      </c>
      <c r="N12" s="64">
        <v>1337003</v>
      </c>
      <c r="O12" s="64">
        <v>1368588</v>
      </c>
      <c r="P12" s="65">
        <f t="shared" si="0"/>
        <v>19338416</v>
      </c>
      <c r="Q12" s="81"/>
      <c r="R12" s="81"/>
      <c r="S12" s="69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</row>
    <row r="13" spans="1:36" x14ac:dyDescent="0.25">
      <c r="A13" s="143"/>
      <c r="B13" s="143"/>
      <c r="C13" s="47" t="s">
        <v>89</v>
      </c>
      <c r="D13" s="64">
        <v>9029</v>
      </c>
      <c r="E13" s="64">
        <v>8747</v>
      </c>
      <c r="F13" s="64">
        <v>10075</v>
      </c>
      <c r="G13" s="64">
        <v>9754</v>
      </c>
      <c r="H13" s="64">
        <v>7295</v>
      </c>
      <c r="I13" s="64">
        <v>7169</v>
      </c>
      <c r="J13" s="64">
        <v>4531</v>
      </c>
      <c r="K13" s="64">
        <v>4584</v>
      </c>
      <c r="L13" s="64">
        <v>2361</v>
      </c>
      <c r="M13" s="64">
        <v>3317</v>
      </c>
      <c r="N13" s="64">
        <v>5254</v>
      </c>
      <c r="O13" s="64">
        <v>5741</v>
      </c>
      <c r="P13" s="65">
        <f t="shared" si="0"/>
        <v>77857</v>
      </c>
      <c r="Q13" s="81"/>
      <c r="R13" s="81"/>
      <c r="S13" s="69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</row>
    <row r="14" spans="1:36" x14ac:dyDescent="0.25">
      <c r="A14" s="143"/>
      <c r="B14" s="143"/>
      <c r="C14" s="47" t="s">
        <v>90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5">
        <f t="shared" si="0"/>
        <v>0</v>
      </c>
      <c r="Q14" s="81"/>
      <c r="R14" s="81"/>
      <c r="S14" s="69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</row>
    <row r="15" spans="1:36" s="81" customFormat="1" x14ac:dyDescent="0.25">
      <c r="A15" s="157" t="s">
        <v>93</v>
      </c>
      <c r="B15" s="158"/>
      <c r="C15" s="159"/>
      <c r="D15" s="66">
        <f>D12-(D13+D14)</f>
        <v>2043895</v>
      </c>
      <c r="E15" s="66">
        <f t="shared" ref="E15:O15" si="2">E12-(E13+E14)</f>
        <v>1794814</v>
      </c>
      <c r="F15" s="66">
        <f t="shared" si="2"/>
        <v>1874531</v>
      </c>
      <c r="G15" s="66">
        <f t="shared" si="2"/>
        <v>1771283</v>
      </c>
      <c r="H15" s="66">
        <f t="shared" si="2"/>
        <v>1735693</v>
      </c>
      <c r="I15" s="66">
        <f t="shared" si="2"/>
        <v>1542906</v>
      </c>
      <c r="J15" s="66">
        <f t="shared" si="2"/>
        <v>1597464</v>
      </c>
      <c r="K15" s="66">
        <f t="shared" si="2"/>
        <v>1413268</v>
      </c>
      <c r="L15" s="66">
        <f t="shared" si="2"/>
        <v>1382091</v>
      </c>
      <c r="M15" s="66">
        <f t="shared" si="2"/>
        <v>1410018</v>
      </c>
      <c r="N15" s="66">
        <f t="shared" si="2"/>
        <v>1331749</v>
      </c>
      <c r="O15" s="66">
        <f t="shared" si="2"/>
        <v>1362847</v>
      </c>
      <c r="P15" s="66">
        <f t="shared" si="0"/>
        <v>19260559</v>
      </c>
    </row>
    <row r="16" spans="1:36" x14ac:dyDescent="0.25">
      <c r="A16" s="143" t="s">
        <v>18</v>
      </c>
      <c r="B16" s="143" t="s">
        <v>95</v>
      </c>
      <c r="C16" s="47" t="s">
        <v>88</v>
      </c>
      <c r="D16" s="64">
        <v>253851</v>
      </c>
      <c r="E16" s="72">
        <v>228749</v>
      </c>
      <c r="F16" s="64">
        <v>221786</v>
      </c>
      <c r="G16" s="64">
        <v>222049</v>
      </c>
      <c r="H16" s="64">
        <v>211580</v>
      </c>
      <c r="I16" s="64">
        <v>199376</v>
      </c>
      <c r="J16" s="64">
        <v>226655</v>
      </c>
      <c r="K16" s="64">
        <v>183794</v>
      </c>
      <c r="L16" s="64">
        <v>249745</v>
      </c>
      <c r="M16" s="64">
        <v>257093</v>
      </c>
      <c r="N16" s="64">
        <v>283026</v>
      </c>
      <c r="O16" s="64">
        <v>328658</v>
      </c>
      <c r="P16" s="65">
        <f t="shared" si="0"/>
        <v>2866362</v>
      </c>
      <c r="Q16" s="81"/>
      <c r="R16" s="81"/>
      <c r="S16" s="69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</row>
    <row r="17" spans="1:36" x14ac:dyDescent="0.25">
      <c r="A17" s="143"/>
      <c r="B17" s="143"/>
      <c r="C17" s="47" t="s">
        <v>89</v>
      </c>
      <c r="D17" s="64">
        <v>1081</v>
      </c>
      <c r="E17" s="72">
        <v>1142</v>
      </c>
      <c r="F17" s="64">
        <v>1184</v>
      </c>
      <c r="G17" s="64">
        <v>1220</v>
      </c>
      <c r="H17" s="64">
        <v>897</v>
      </c>
      <c r="I17" s="64">
        <v>938</v>
      </c>
      <c r="J17" s="64">
        <v>661</v>
      </c>
      <c r="K17" s="64">
        <v>530</v>
      </c>
      <c r="L17" s="64">
        <v>623</v>
      </c>
      <c r="M17" s="64">
        <v>621</v>
      </c>
      <c r="N17" s="64">
        <v>1207</v>
      </c>
      <c r="O17" s="64">
        <v>1385</v>
      </c>
      <c r="P17" s="65">
        <f t="shared" si="0"/>
        <v>11489</v>
      </c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</row>
    <row r="18" spans="1:36" x14ac:dyDescent="0.25">
      <c r="A18" s="143"/>
      <c r="B18" s="143"/>
      <c r="C18" s="47" t="s">
        <v>90</v>
      </c>
      <c r="D18" s="64">
        <v>0</v>
      </c>
      <c r="E18" s="72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5">
        <f t="shared" si="0"/>
        <v>0</v>
      </c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</row>
    <row r="19" spans="1:36" s="81" customFormat="1" x14ac:dyDescent="0.25">
      <c r="A19" s="157" t="s">
        <v>93</v>
      </c>
      <c r="B19" s="158"/>
      <c r="C19" s="159"/>
      <c r="D19" s="66">
        <f>D16-(D17+D18)</f>
        <v>252770</v>
      </c>
      <c r="E19" s="66">
        <f t="shared" ref="E19:O19" si="3">E16-(E17+E18)</f>
        <v>227607</v>
      </c>
      <c r="F19" s="66">
        <f t="shared" si="3"/>
        <v>220602</v>
      </c>
      <c r="G19" s="66">
        <f t="shared" si="3"/>
        <v>220829</v>
      </c>
      <c r="H19" s="66">
        <f t="shared" si="3"/>
        <v>210683</v>
      </c>
      <c r="I19" s="66">
        <f t="shared" si="3"/>
        <v>198438</v>
      </c>
      <c r="J19" s="66">
        <f t="shared" si="3"/>
        <v>225994</v>
      </c>
      <c r="K19" s="66">
        <f t="shared" si="3"/>
        <v>183264</v>
      </c>
      <c r="L19" s="66">
        <f t="shared" si="3"/>
        <v>249122</v>
      </c>
      <c r="M19" s="66">
        <f t="shared" si="3"/>
        <v>256472</v>
      </c>
      <c r="N19" s="66">
        <f t="shared" si="3"/>
        <v>281819</v>
      </c>
      <c r="O19" s="66">
        <f t="shared" si="3"/>
        <v>327273</v>
      </c>
      <c r="P19" s="66">
        <f t="shared" si="0"/>
        <v>2854873</v>
      </c>
    </row>
    <row r="20" spans="1:36" x14ac:dyDescent="0.25">
      <c r="A20" s="143" t="s">
        <v>8</v>
      </c>
      <c r="B20" s="143" t="s">
        <v>94</v>
      </c>
      <c r="C20" s="47" t="s">
        <v>88</v>
      </c>
      <c r="D20" s="64">
        <v>673261</v>
      </c>
      <c r="E20" s="64">
        <v>627418</v>
      </c>
      <c r="F20" s="64">
        <v>707363</v>
      </c>
      <c r="G20" s="64">
        <v>685064</v>
      </c>
      <c r="H20" s="64">
        <v>742360</v>
      </c>
      <c r="I20" s="64">
        <v>677545</v>
      </c>
      <c r="J20" s="64">
        <v>688946</v>
      </c>
      <c r="K20" s="64">
        <v>897173</v>
      </c>
      <c r="L20" s="64">
        <v>958990</v>
      </c>
      <c r="M20" s="64">
        <v>808888</v>
      </c>
      <c r="N20" s="64">
        <v>714762</v>
      </c>
      <c r="O20" s="64">
        <v>705612</v>
      </c>
      <c r="P20" s="65">
        <f t="shared" si="0"/>
        <v>8887382</v>
      </c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</row>
    <row r="21" spans="1:36" x14ac:dyDescent="0.25">
      <c r="A21" s="143"/>
      <c r="B21" s="143"/>
      <c r="C21" s="47" t="s">
        <v>89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5">
        <f t="shared" si="0"/>
        <v>0</v>
      </c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</row>
    <row r="22" spans="1:36" x14ac:dyDescent="0.25">
      <c r="A22" s="143"/>
      <c r="B22" s="143"/>
      <c r="C22" s="47" t="s">
        <v>90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5">
        <f t="shared" si="0"/>
        <v>0</v>
      </c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</row>
    <row r="23" spans="1:36" s="81" customFormat="1" x14ac:dyDescent="0.25">
      <c r="A23" s="157" t="s">
        <v>93</v>
      </c>
      <c r="B23" s="158"/>
      <c r="C23" s="159"/>
      <c r="D23" s="66">
        <f>D20-(D21+D22)</f>
        <v>673261</v>
      </c>
      <c r="E23" s="66">
        <f t="shared" ref="E23:O23" si="4">E20-(E21+E22)</f>
        <v>627418</v>
      </c>
      <c r="F23" s="66">
        <f t="shared" si="4"/>
        <v>707363</v>
      </c>
      <c r="G23" s="66">
        <f t="shared" si="4"/>
        <v>685064</v>
      </c>
      <c r="H23" s="66">
        <f t="shared" si="4"/>
        <v>742360</v>
      </c>
      <c r="I23" s="66">
        <f t="shared" si="4"/>
        <v>677545</v>
      </c>
      <c r="J23" s="66">
        <f t="shared" si="4"/>
        <v>688946</v>
      </c>
      <c r="K23" s="66">
        <f>K20-(K21+K22)</f>
        <v>897173</v>
      </c>
      <c r="L23" s="66">
        <f t="shared" si="4"/>
        <v>958990</v>
      </c>
      <c r="M23" s="66">
        <f t="shared" si="4"/>
        <v>808888</v>
      </c>
      <c r="N23" s="66">
        <f t="shared" si="4"/>
        <v>714762</v>
      </c>
      <c r="O23" s="66">
        <f t="shared" si="4"/>
        <v>705612</v>
      </c>
      <c r="P23" s="66">
        <f t="shared" si="0"/>
        <v>8887382</v>
      </c>
    </row>
    <row r="24" spans="1:36" s="81" customFormat="1" x14ac:dyDescent="0.25">
      <c r="A24" s="174" t="s">
        <v>12</v>
      </c>
      <c r="B24" s="125" t="s">
        <v>96</v>
      </c>
      <c r="C24" s="47" t="s">
        <v>88</v>
      </c>
      <c r="D24" s="64">
        <v>361148</v>
      </c>
      <c r="E24" s="64">
        <v>308647</v>
      </c>
      <c r="F24" s="64">
        <v>338209</v>
      </c>
      <c r="G24" s="64">
        <v>340019</v>
      </c>
      <c r="H24" s="64">
        <v>478780</v>
      </c>
      <c r="I24" s="64">
        <v>461318</v>
      </c>
      <c r="J24" s="64">
        <v>463402</v>
      </c>
      <c r="K24" s="64">
        <v>444178</v>
      </c>
      <c r="L24" s="64">
        <v>401777</v>
      </c>
      <c r="M24" s="64">
        <v>403995</v>
      </c>
      <c r="N24" s="64">
        <v>312341</v>
      </c>
      <c r="O24" s="64">
        <v>297355</v>
      </c>
      <c r="P24" s="65">
        <f t="shared" si="0"/>
        <v>4611169</v>
      </c>
    </row>
    <row r="25" spans="1:36" s="81" customFormat="1" x14ac:dyDescent="0.25">
      <c r="A25" s="134"/>
      <c r="B25" s="126"/>
      <c r="C25" s="47" t="s">
        <v>89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5">
        <f t="shared" si="0"/>
        <v>0</v>
      </c>
    </row>
    <row r="26" spans="1:36" s="81" customFormat="1" x14ac:dyDescent="0.25">
      <c r="A26" s="134"/>
      <c r="B26" s="131"/>
      <c r="C26" s="47" t="s">
        <v>90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5">
        <f t="shared" si="0"/>
        <v>0</v>
      </c>
    </row>
    <row r="27" spans="1:36" x14ac:dyDescent="0.25">
      <c r="A27" s="134"/>
      <c r="B27" s="143" t="s">
        <v>97</v>
      </c>
      <c r="C27" s="47" t="s">
        <v>88</v>
      </c>
      <c r="D27" s="64">
        <v>425</v>
      </c>
      <c r="E27" s="64">
        <v>0</v>
      </c>
      <c r="F27" s="64">
        <v>0</v>
      </c>
      <c r="G27" s="64">
        <v>9582</v>
      </c>
      <c r="H27" s="64">
        <v>0</v>
      </c>
      <c r="I27" s="64">
        <v>290</v>
      </c>
      <c r="J27" s="64">
        <v>0</v>
      </c>
      <c r="K27" s="64">
        <v>0</v>
      </c>
      <c r="L27" s="64">
        <v>3721</v>
      </c>
      <c r="M27" s="64">
        <v>0</v>
      </c>
      <c r="N27" s="64">
        <v>39558</v>
      </c>
      <c r="O27" s="64">
        <v>52927</v>
      </c>
      <c r="P27" s="65">
        <f t="shared" si="0"/>
        <v>106503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</row>
    <row r="28" spans="1:36" x14ac:dyDescent="0.25">
      <c r="A28" s="134"/>
      <c r="B28" s="143"/>
      <c r="C28" s="47" t="s">
        <v>89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72">
        <v>0</v>
      </c>
      <c r="O28" s="72">
        <v>0</v>
      </c>
      <c r="P28" s="65">
        <f t="shared" si="0"/>
        <v>0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</row>
    <row r="29" spans="1:36" x14ac:dyDescent="0.25">
      <c r="A29" s="140"/>
      <c r="B29" s="143"/>
      <c r="C29" s="47" t="s">
        <v>90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72">
        <v>0</v>
      </c>
      <c r="O29" s="72">
        <v>0</v>
      </c>
      <c r="P29" s="65">
        <f t="shared" si="0"/>
        <v>0</v>
      </c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</row>
    <row r="30" spans="1:36" s="81" customFormat="1" x14ac:dyDescent="0.25">
      <c r="A30" s="157" t="s">
        <v>93</v>
      </c>
      <c r="B30" s="158"/>
      <c r="C30" s="159"/>
      <c r="D30" s="82">
        <f>(D24+D27)-(D25+D26+D28+D29)</f>
        <v>361573</v>
      </c>
      <c r="E30" s="82">
        <f t="shared" ref="E30:G30" si="5">(E24+E27)-(E25+E26+E28+E29)</f>
        <v>308647</v>
      </c>
      <c r="F30" s="82">
        <f t="shared" si="5"/>
        <v>338209</v>
      </c>
      <c r="G30" s="82">
        <f t="shared" si="5"/>
        <v>349601</v>
      </c>
      <c r="H30" s="82">
        <f>(H24+H27)-(H25+H26+H28+H29)</f>
        <v>478780</v>
      </c>
      <c r="I30" s="82">
        <f t="shared" ref="I30:O30" si="6">(I24+I27)-(I25+I26+I28+I29)</f>
        <v>461608</v>
      </c>
      <c r="J30" s="82">
        <f t="shared" si="6"/>
        <v>463402</v>
      </c>
      <c r="K30" s="82">
        <f t="shared" si="6"/>
        <v>444178</v>
      </c>
      <c r="L30" s="82">
        <f t="shared" si="6"/>
        <v>405498</v>
      </c>
      <c r="M30" s="82">
        <f t="shared" si="6"/>
        <v>403995</v>
      </c>
      <c r="N30" s="82">
        <f t="shared" si="6"/>
        <v>351899</v>
      </c>
      <c r="O30" s="82">
        <f t="shared" si="6"/>
        <v>350282</v>
      </c>
      <c r="P30" s="66">
        <f t="shared" si="0"/>
        <v>4717672</v>
      </c>
    </row>
    <row r="31" spans="1:36" x14ac:dyDescent="0.25">
      <c r="A31" s="145" t="s">
        <v>98</v>
      </c>
      <c r="B31" s="146"/>
      <c r="C31" s="147"/>
      <c r="D31" s="73">
        <f>D27+D24+D20+D16+D12+D8+D5+D2</f>
        <v>8364183</v>
      </c>
      <c r="E31" s="73">
        <f t="shared" ref="E31:O31" si="7">E27+E24+E20+E16+E12+E8+E5+E2</f>
        <v>7328532</v>
      </c>
      <c r="F31" s="73">
        <f t="shared" si="7"/>
        <v>7818097</v>
      </c>
      <c r="G31" s="73">
        <f t="shared" si="7"/>
        <v>7475061</v>
      </c>
      <c r="H31" s="73">
        <f t="shared" si="7"/>
        <v>7537101</v>
      </c>
      <c r="I31" s="73">
        <f t="shared" si="7"/>
        <v>7038854</v>
      </c>
      <c r="J31" s="73">
        <f t="shared" si="7"/>
        <v>7634486</v>
      </c>
      <c r="K31" s="73">
        <f t="shared" si="7"/>
        <v>7349405</v>
      </c>
      <c r="L31" s="73">
        <f t="shared" si="7"/>
        <v>7245141</v>
      </c>
      <c r="M31" s="73">
        <f t="shared" si="7"/>
        <v>7287909</v>
      </c>
      <c r="N31" s="73">
        <f t="shared" si="7"/>
        <v>6688486</v>
      </c>
      <c r="O31" s="73">
        <f t="shared" si="7"/>
        <v>6956253</v>
      </c>
      <c r="P31" s="73">
        <f t="shared" si="0"/>
        <v>88723508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</row>
    <row r="32" spans="1:36" x14ac:dyDescent="0.25">
      <c r="A32" s="144" t="s">
        <v>99</v>
      </c>
      <c r="B32" s="144"/>
      <c r="C32" s="144"/>
      <c r="D32" s="74">
        <f>D30+D23+D19+D15+D11</f>
        <v>8348307</v>
      </c>
      <c r="E32" s="74">
        <f t="shared" ref="E32:O32" si="8">E30+E23+E19+E15+E11</f>
        <v>7313050</v>
      </c>
      <c r="F32" s="74">
        <f t="shared" si="8"/>
        <v>7800294</v>
      </c>
      <c r="G32" s="74">
        <f t="shared" si="8"/>
        <v>7457237</v>
      </c>
      <c r="H32" s="74">
        <f t="shared" si="8"/>
        <v>7523696</v>
      </c>
      <c r="I32" s="74">
        <f t="shared" si="8"/>
        <v>7025007</v>
      </c>
      <c r="J32" s="74">
        <f t="shared" si="8"/>
        <v>7625099</v>
      </c>
      <c r="K32" s="74">
        <f t="shared" si="8"/>
        <v>7339137</v>
      </c>
      <c r="L32" s="74">
        <f t="shared" si="8"/>
        <v>7240092</v>
      </c>
      <c r="M32" s="74">
        <f t="shared" si="8"/>
        <v>7281183</v>
      </c>
      <c r="N32" s="74">
        <f t="shared" si="8"/>
        <v>6677938</v>
      </c>
      <c r="O32" s="74">
        <f t="shared" si="8"/>
        <v>6944295</v>
      </c>
      <c r="P32" s="84">
        <f t="shared" si="0"/>
        <v>88575335</v>
      </c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</row>
  </sheetData>
  <mergeCells count="20">
    <mergeCell ref="A32:C32"/>
    <mergeCell ref="A23:C23"/>
    <mergeCell ref="A24:A29"/>
    <mergeCell ref="B24:B26"/>
    <mergeCell ref="B27:B29"/>
    <mergeCell ref="A30:C30"/>
    <mergeCell ref="A31:C31"/>
    <mergeCell ref="A15:C15"/>
    <mergeCell ref="A16:A18"/>
    <mergeCell ref="B16:B18"/>
    <mergeCell ref="A19:C19"/>
    <mergeCell ref="A20:A22"/>
    <mergeCell ref="B20:B22"/>
    <mergeCell ref="A12:A14"/>
    <mergeCell ref="B12:B14"/>
    <mergeCell ref="A2:A10"/>
    <mergeCell ref="B2:B4"/>
    <mergeCell ref="B5:B7"/>
    <mergeCell ref="B8:B10"/>
    <mergeCell ref="A11:C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F18" sqref="F18"/>
    </sheetView>
  </sheetViews>
  <sheetFormatPr baseColWidth="10" defaultRowHeight="15" x14ac:dyDescent="0.25"/>
  <cols>
    <col min="1" max="1" width="11" bestFit="1" customWidth="1"/>
    <col min="2" max="2" width="9.7109375" bestFit="1" customWidth="1"/>
    <col min="3" max="3" width="4.85546875" bestFit="1" customWidth="1"/>
    <col min="4" max="4" width="7.7109375" bestFit="1" customWidth="1"/>
    <col min="5" max="5" width="6.5703125" bestFit="1" customWidth="1"/>
    <col min="6" max="6" width="10.140625" bestFit="1" customWidth="1"/>
    <col min="7" max="7" width="10" bestFit="1" customWidth="1"/>
  </cols>
  <sheetData>
    <row r="1" spans="1:7" ht="27" x14ac:dyDescent="0.25">
      <c r="A1" s="77" t="s">
        <v>0</v>
      </c>
      <c r="B1" s="77" t="s">
        <v>72</v>
      </c>
      <c r="C1" s="77" t="s">
        <v>29</v>
      </c>
      <c r="D1" s="77" t="s">
        <v>100</v>
      </c>
      <c r="E1" s="77" t="s">
        <v>101</v>
      </c>
      <c r="F1" s="77" t="s">
        <v>102</v>
      </c>
      <c r="G1" s="77" t="s">
        <v>103</v>
      </c>
    </row>
    <row r="2" spans="1:7" x14ac:dyDescent="0.25">
      <c r="A2" s="144" t="s">
        <v>12</v>
      </c>
      <c r="B2" s="144" t="s">
        <v>96</v>
      </c>
      <c r="C2" s="175">
        <v>2002</v>
      </c>
      <c r="D2" s="77" t="s">
        <v>104</v>
      </c>
      <c r="E2" s="77">
        <v>308039</v>
      </c>
      <c r="F2" s="77">
        <v>308647</v>
      </c>
      <c r="G2" s="77">
        <f>F2-E2</f>
        <v>608</v>
      </c>
    </row>
    <row r="3" spans="1:7" x14ac:dyDescent="0.25">
      <c r="A3" s="144"/>
      <c r="B3" s="144"/>
      <c r="C3" s="175"/>
      <c r="D3" s="77" t="s">
        <v>109</v>
      </c>
      <c r="E3" s="77">
        <v>336732</v>
      </c>
      <c r="F3" s="77">
        <v>338209</v>
      </c>
      <c r="G3" s="77">
        <f t="shared" ref="G3:G4" si="0">F3-E3</f>
        <v>1477</v>
      </c>
    </row>
    <row r="4" spans="1:7" x14ac:dyDescent="0.25">
      <c r="A4" s="144"/>
      <c r="B4" s="77" t="s">
        <v>97</v>
      </c>
      <c r="C4" s="175"/>
      <c r="D4" s="77" t="s">
        <v>110</v>
      </c>
      <c r="E4" s="77">
        <v>0</v>
      </c>
      <c r="F4" s="77">
        <v>9582</v>
      </c>
      <c r="G4" s="77">
        <f t="shared" si="0"/>
        <v>9582</v>
      </c>
    </row>
    <row r="5" spans="1:7" x14ac:dyDescent="0.25">
      <c r="A5" s="150" t="s">
        <v>106</v>
      </c>
      <c r="B5" s="150"/>
      <c r="C5" s="150"/>
      <c r="D5" s="150"/>
      <c r="E5" s="150"/>
      <c r="F5" s="150"/>
      <c r="G5" s="78">
        <f>SUM(G2:G4)</f>
        <v>11667</v>
      </c>
    </row>
  </sheetData>
  <mergeCells count="4">
    <mergeCell ref="A2:A4"/>
    <mergeCell ref="B2:B3"/>
    <mergeCell ref="C2:C4"/>
    <mergeCell ref="A5:F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topLeftCell="A19" workbookViewId="0">
      <selection activeCell="C38" sqref="C38"/>
    </sheetView>
  </sheetViews>
  <sheetFormatPr baseColWidth="10" defaultRowHeight="13.5" x14ac:dyDescent="0.25"/>
  <cols>
    <col min="1" max="1" width="10.7109375" style="62" customWidth="1"/>
    <col min="2" max="2" width="13.28515625" style="62" customWidth="1"/>
    <col min="3" max="3" width="12.28515625" style="62" bestFit="1" customWidth="1"/>
    <col min="4" max="9" width="8.7109375" style="62" bestFit="1" customWidth="1"/>
    <col min="10" max="10" width="8.7109375" style="63" bestFit="1" customWidth="1"/>
    <col min="11" max="12" width="8.7109375" style="62" bestFit="1" customWidth="1"/>
    <col min="13" max="13" width="9.28515625" style="62" bestFit="1" customWidth="1"/>
    <col min="14" max="15" width="8.7109375" style="62" bestFit="1" customWidth="1"/>
    <col min="16" max="17" width="9.5703125" style="62" bestFit="1" customWidth="1"/>
    <col min="18" max="18" width="11.42578125" style="62"/>
    <col min="19" max="20" width="8.7109375" style="62" bestFit="1" customWidth="1"/>
    <col min="21" max="16384" width="11.42578125" style="62"/>
  </cols>
  <sheetData>
    <row r="1" spans="1:36" ht="25.5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85</v>
      </c>
      <c r="P1" s="45" t="s">
        <v>86</v>
      </c>
      <c r="S1" s="63"/>
      <c r="T1" s="63"/>
    </row>
    <row r="2" spans="1:36" x14ac:dyDescent="0.25">
      <c r="A2" s="124" t="s">
        <v>3</v>
      </c>
      <c r="B2" s="128" t="s">
        <v>87</v>
      </c>
      <c r="C2" s="61" t="s">
        <v>88</v>
      </c>
      <c r="D2" s="64">
        <v>1712049</v>
      </c>
      <c r="E2" s="64">
        <v>1525777</v>
      </c>
      <c r="F2" s="64">
        <v>1586056</v>
      </c>
      <c r="G2" s="64">
        <v>1555366</v>
      </c>
      <c r="H2" s="64">
        <v>1559744</v>
      </c>
      <c r="I2" s="64">
        <v>1455847</v>
      </c>
      <c r="J2" s="64">
        <v>1435094</v>
      </c>
      <c r="K2" s="64">
        <v>1437100</v>
      </c>
      <c r="L2" s="64">
        <v>1372114</v>
      </c>
      <c r="M2" s="64">
        <v>1368026</v>
      </c>
      <c r="N2" s="64">
        <v>1320282</v>
      </c>
      <c r="O2" s="64">
        <v>1351741</v>
      </c>
      <c r="P2" s="65">
        <f>SUM(D2:O2)</f>
        <v>17679196</v>
      </c>
      <c r="S2" s="63"/>
      <c r="T2" s="63"/>
    </row>
    <row r="3" spans="1:36" x14ac:dyDescent="0.25">
      <c r="A3" s="124"/>
      <c r="B3" s="129"/>
      <c r="C3" s="61" t="s">
        <v>89</v>
      </c>
      <c r="D3" s="64">
        <v>0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5">
        <f t="shared" ref="P3:P32" si="0">SUM(D3:O3)</f>
        <v>0</v>
      </c>
      <c r="S3" s="63"/>
      <c r="T3" s="63"/>
    </row>
    <row r="4" spans="1:36" x14ac:dyDescent="0.25">
      <c r="A4" s="124"/>
      <c r="B4" s="130"/>
      <c r="C4" s="61" t="s">
        <v>90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5">
        <f t="shared" si="0"/>
        <v>0</v>
      </c>
      <c r="S4" s="63"/>
      <c r="T4" s="63"/>
    </row>
    <row r="5" spans="1:36" x14ac:dyDescent="0.25">
      <c r="A5" s="124"/>
      <c r="B5" s="128" t="s">
        <v>91</v>
      </c>
      <c r="C5" s="61" t="s">
        <v>88</v>
      </c>
      <c r="D5" s="64">
        <v>921101</v>
      </c>
      <c r="E5" s="64">
        <v>855593</v>
      </c>
      <c r="F5" s="64">
        <v>849220</v>
      </c>
      <c r="G5" s="64">
        <v>830268</v>
      </c>
      <c r="H5" s="64">
        <v>828126</v>
      </c>
      <c r="I5" s="64">
        <v>772624</v>
      </c>
      <c r="J5" s="64">
        <v>766726</v>
      </c>
      <c r="K5" s="64">
        <v>747201</v>
      </c>
      <c r="L5" s="64">
        <v>708035</v>
      </c>
      <c r="M5" s="64">
        <v>713830</v>
      </c>
      <c r="N5" s="64">
        <v>694384</v>
      </c>
      <c r="O5" s="64">
        <v>749338</v>
      </c>
      <c r="P5" s="65">
        <f t="shared" si="0"/>
        <v>9436446</v>
      </c>
      <c r="S5" s="63"/>
      <c r="T5" s="63"/>
    </row>
    <row r="6" spans="1:36" x14ac:dyDescent="0.25">
      <c r="A6" s="124"/>
      <c r="B6" s="129"/>
      <c r="C6" s="61" t="s">
        <v>89</v>
      </c>
      <c r="D6" s="64">
        <v>1172</v>
      </c>
      <c r="E6" s="64">
        <v>2367</v>
      </c>
      <c r="F6" s="64">
        <v>2598</v>
      </c>
      <c r="G6" s="64">
        <v>5506</v>
      </c>
      <c r="H6" s="64">
        <v>5095</v>
      </c>
      <c r="I6" s="64">
        <v>2829</v>
      </c>
      <c r="J6" s="64">
        <v>2364</v>
      </c>
      <c r="K6" s="64">
        <v>2202</v>
      </c>
      <c r="L6" s="64">
        <v>2463</v>
      </c>
      <c r="M6" s="64">
        <v>1632</v>
      </c>
      <c r="N6" s="64">
        <v>4987</v>
      </c>
      <c r="O6" s="64">
        <v>1474</v>
      </c>
      <c r="P6" s="65">
        <f t="shared" si="0"/>
        <v>34689</v>
      </c>
      <c r="S6" s="63"/>
      <c r="T6" s="63"/>
    </row>
    <row r="7" spans="1:36" x14ac:dyDescent="0.25">
      <c r="A7" s="124"/>
      <c r="B7" s="130"/>
      <c r="C7" s="61" t="s">
        <v>90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5">
        <f t="shared" si="0"/>
        <v>0</v>
      </c>
      <c r="S7" s="63"/>
      <c r="T7" s="63"/>
    </row>
    <row r="8" spans="1:36" x14ac:dyDescent="0.25">
      <c r="A8" s="124"/>
      <c r="B8" s="125" t="s">
        <v>92</v>
      </c>
      <c r="C8" s="61" t="s">
        <v>88</v>
      </c>
      <c r="D8" s="64">
        <v>619877</v>
      </c>
      <c r="E8" s="64">
        <v>566005</v>
      </c>
      <c r="F8" s="64">
        <v>577099</v>
      </c>
      <c r="G8" s="64">
        <v>534260</v>
      </c>
      <c r="H8" s="64">
        <v>563718</v>
      </c>
      <c r="I8" s="64">
        <v>553174</v>
      </c>
      <c r="J8" s="64">
        <v>650013</v>
      </c>
      <c r="K8" s="64">
        <v>626929</v>
      </c>
      <c r="L8" s="64">
        <v>562868</v>
      </c>
      <c r="M8" s="64">
        <v>524085</v>
      </c>
      <c r="N8" s="64">
        <v>444826</v>
      </c>
      <c r="O8" s="64">
        <v>486830</v>
      </c>
      <c r="P8" s="65">
        <f t="shared" si="0"/>
        <v>6709684</v>
      </c>
      <c r="S8" s="63"/>
      <c r="T8" s="63"/>
    </row>
    <row r="9" spans="1:36" x14ac:dyDescent="0.25">
      <c r="A9" s="124"/>
      <c r="B9" s="126"/>
      <c r="C9" s="61" t="s">
        <v>89</v>
      </c>
      <c r="D9" s="64">
        <v>717</v>
      </c>
      <c r="E9" s="64">
        <v>1569</v>
      </c>
      <c r="F9" s="64">
        <v>1717</v>
      </c>
      <c r="G9" s="64">
        <v>3437</v>
      </c>
      <c r="H9" s="64">
        <v>3471</v>
      </c>
      <c r="I9" s="64">
        <v>2338</v>
      </c>
      <c r="J9" s="64">
        <v>2118</v>
      </c>
      <c r="K9" s="64">
        <v>1853</v>
      </c>
      <c r="L9" s="64">
        <v>1974</v>
      </c>
      <c r="M9" s="64">
        <v>1068</v>
      </c>
      <c r="N9" s="64">
        <v>2823</v>
      </c>
      <c r="O9" s="64">
        <v>961</v>
      </c>
      <c r="P9" s="65">
        <f t="shared" si="0"/>
        <v>24046</v>
      </c>
      <c r="S9" s="63"/>
      <c r="T9" s="63"/>
    </row>
    <row r="10" spans="1:36" x14ac:dyDescent="0.25">
      <c r="A10" s="127"/>
      <c r="B10" s="131"/>
      <c r="C10" s="61" t="s">
        <v>90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5">
        <f t="shared" si="0"/>
        <v>0</v>
      </c>
      <c r="S10" s="63"/>
      <c r="T10" s="63"/>
    </row>
    <row r="11" spans="1:36" x14ac:dyDescent="0.25">
      <c r="A11" s="132" t="s">
        <v>93</v>
      </c>
      <c r="B11" s="125"/>
      <c r="C11" s="133"/>
      <c r="D11" s="66">
        <f>(D2+D5+D8)-(D3+D4+D6+D7+D9+D10)</f>
        <v>3251138</v>
      </c>
      <c r="E11" s="66">
        <f t="shared" ref="E11:O11" si="1">(E2+E5+E8)-(E3+E4+E6+E7+E9+E10)</f>
        <v>2943439</v>
      </c>
      <c r="F11" s="66">
        <f t="shared" si="1"/>
        <v>3008060</v>
      </c>
      <c r="G11" s="66">
        <f t="shared" si="1"/>
        <v>2910951</v>
      </c>
      <c r="H11" s="66">
        <f t="shared" si="1"/>
        <v>2943022</v>
      </c>
      <c r="I11" s="66">
        <f t="shared" si="1"/>
        <v>2776478</v>
      </c>
      <c r="J11" s="66">
        <f t="shared" si="1"/>
        <v>2847351</v>
      </c>
      <c r="K11" s="66">
        <f t="shared" si="1"/>
        <v>2807175</v>
      </c>
      <c r="L11" s="66">
        <f t="shared" si="1"/>
        <v>2638580</v>
      </c>
      <c r="M11" s="66">
        <f t="shared" si="1"/>
        <v>2603241</v>
      </c>
      <c r="N11" s="66">
        <f t="shared" si="1"/>
        <v>2451682</v>
      </c>
      <c r="O11" s="66">
        <f t="shared" si="1"/>
        <v>2585474</v>
      </c>
      <c r="P11" s="66">
        <f t="shared" si="0"/>
        <v>33766591</v>
      </c>
      <c r="S11" s="63"/>
      <c r="T11" s="63"/>
    </row>
    <row r="12" spans="1:36" ht="13.5" customHeight="1" x14ac:dyDescent="0.25">
      <c r="A12" s="124" t="s">
        <v>6</v>
      </c>
      <c r="B12" s="125" t="s">
        <v>92</v>
      </c>
      <c r="C12" s="61" t="s">
        <v>88</v>
      </c>
      <c r="D12" s="64">
        <v>967814</v>
      </c>
      <c r="E12" s="64">
        <v>869187</v>
      </c>
      <c r="F12" s="64">
        <v>951599</v>
      </c>
      <c r="G12" s="64">
        <v>925263</v>
      </c>
      <c r="H12" s="64">
        <v>914950</v>
      </c>
      <c r="I12" s="64">
        <v>913935</v>
      </c>
      <c r="J12" s="64">
        <v>1000796</v>
      </c>
      <c r="K12" s="64">
        <v>934996</v>
      </c>
      <c r="L12" s="64">
        <v>886767</v>
      </c>
      <c r="M12" s="64">
        <v>916204</v>
      </c>
      <c r="N12" s="64">
        <v>696119</v>
      </c>
      <c r="O12" s="64">
        <v>875569</v>
      </c>
      <c r="P12" s="65">
        <f t="shared" si="0"/>
        <v>10853199</v>
      </c>
      <c r="S12" s="63"/>
      <c r="T12" s="63"/>
    </row>
    <row r="13" spans="1:36" ht="13.5" customHeight="1" x14ac:dyDescent="0.25">
      <c r="A13" s="124"/>
      <c r="B13" s="126"/>
      <c r="C13" s="61" t="s">
        <v>89</v>
      </c>
      <c r="D13" s="64">
        <v>985</v>
      </c>
      <c r="E13" s="64">
        <v>3469</v>
      </c>
      <c r="F13" s="64">
        <v>3748</v>
      </c>
      <c r="G13" s="64">
        <v>7621</v>
      </c>
      <c r="H13" s="64">
        <v>6918</v>
      </c>
      <c r="I13" s="64">
        <v>4685</v>
      </c>
      <c r="J13" s="64">
        <v>3732</v>
      </c>
      <c r="K13" s="64">
        <v>3287</v>
      </c>
      <c r="L13" s="64">
        <v>3969</v>
      </c>
      <c r="M13" s="64">
        <v>2559</v>
      </c>
      <c r="N13" s="64">
        <v>5461</v>
      </c>
      <c r="O13" s="64">
        <v>2449</v>
      </c>
      <c r="P13" s="65">
        <f t="shared" si="0"/>
        <v>48883</v>
      </c>
      <c r="S13" s="63"/>
      <c r="T13" s="63"/>
    </row>
    <row r="14" spans="1:36" ht="13.5" customHeight="1" x14ac:dyDescent="0.25">
      <c r="A14" s="124"/>
      <c r="B14" s="126"/>
      <c r="C14" s="61" t="s">
        <v>90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5">
        <f t="shared" si="0"/>
        <v>0</v>
      </c>
      <c r="S14" s="63"/>
      <c r="T14" s="63"/>
    </row>
    <row r="15" spans="1:36" s="67" customFormat="1" ht="13.5" customHeight="1" x14ac:dyDescent="0.25">
      <c r="A15" s="134" t="s">
        <v>93</v>
      </c>
      <c r="B15" s="135"/>
      <c r="C15" s="136"/>
      <c r="D15" s="66">
        <f>D12-D13</f>
        <v>966829</v>
      </c>
      <c r="E15" s="66">
        <f t="shared" ref="E15:O15" si="2">E12-E13</f>
        <v>865718</v>
      </c>
      <c r="F15" s="66">
        <f t="shared" si="2"/>
        <v>947851</v>
      </c>
      <c r="G15" s="66">
        <f t="shared" si="2"/>
        <v>917642</v>
      </c>
      <c r="H15" s="66">
        <f t="shared" si="2"/>
        <v>908032</v>
      </c>
      <c r="I15" s="66">
        <f t="shared" si="2"/>
        <v>909250</v>
      </c>
      <c r="J15" s="66">
        <f t="shared" si="2"/>
        <v>997064</v>
      </c>
      <c r="K15" s="66">
        <f t="shared" si="2"/>
        <v>931709</v>
      </c>
      <c r="L15" s="66">
        <f t="shared" si="2"/>
        <v>882798</v>
      </c>
      <c r="M15" s="66">
        <f t="shared" si="2"/>
        <v>913645</v>
      </c>
      <c r="N15" s="66">
        <f t="shared" si="2"/>
        <v>690658</v>
      </c>
      <c r="O15" s="66">
        <f t="shared" si="2"/>
        <v>873120</v>
      </c>
      <c r="P15" s="66">
        <f t="shared" si="0"/>
        <v>10804316</v>
      </c>
    </row>
    <row r="16" spans="1:36" ht="13.5" customHeight="1" x14ac:dyDescent="0.25">
      <c r="A16" s="137" t="s">
        <v>8</v>
      </c>
      <c r="B16" s="138" t="s">
        <v>94</v>
      </c>
      <c r="C16" s="47" t="s">
        <v>88</v>
      </c>
      <c r="D16" s="64">
        <v>732322</v>
      </c>
      <c r="E16" s="68">
        <v>677792</v>
      </c>
      <c r="F16" s="64">
        <v>865448</v>
      </c>
      <c r="G16" s="64">
        <v>955684</v>
      </c>
      <c r="H16" s="64">
        <v>966423</v>
      </c>
      <c r="I16" s="64">
        <v>957771</v>
      </c>
      <c r="J16" s="64">
        <v>984444</v>
      </c>
      <c r="K16" s="64">
        <v>932672</v>
      </c>
      <c r="L16" s="64">
        <v>921759</v>
      </c>
      <c r="M16" s="64">
        <v>970772</v>
      </c>
      <c r="N16" s="64">
        <v>926533</v>
      </c>
      <c r="O16" s="64">
        <v>903645</v>
      </c>
      <c r="P16" s="65">
        <f t="shared" si="0"/>
        <v>10795265</v>
      </c>
      <c r="Q16" s="67"/>
      <c r="R16" s="67"/>
      <c r="S16" s="69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</row>
    <row r="17" spans="1:36" x14ac:dyDescent="0.25">
      <c r="A17" s="137"/>
      <c r="B17" s="137"/>
      <c r="C17" s="47" t="s">
        <v>89</v>
      </c>
      <c r="D17" s="64">
        <v>0</v>
      </c>
      <c r="E17" s="68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5">
        <f t="shared" si="0"/>
        <v>0</v>
      </c>
      <c r="Q17" s="67"/>
      <c r="R17" s="67"/>
      <c r="S17" s="70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</row>
    <row r="18" spans="1:36" x14ac:dyDescent="0.25">
      <c r="A18" s="137"/>
      <c r="B18" s="139"/>
      <c r="C18" s="47" t="s">
        <v>90</v>
      </c>
      <c r="D18" s="64">
        <v>0</v>
      </c>
      <c r="E18" s="68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5">
        <f t="shared" si="0"/>
        <v>0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</row>
    <row r="19" spans="1:36" s="67" customFormat="1" ht="13.5" customHeight="1" x14ac:dyDescent="0.25">
      <c r="A19" s="140" t="s">
        <v>93</v>
      </c>
      <c r="B19" s="141"/>
      <c r="C19" s="142"/>
      <c r="D19" s="66">
        <f>D16-D17</f>
        <v>732322</v>
      </c>
      <c r="E19" s="66">
        <f t="shared" ref="E19:O19" si="3">E16-E17</f>
        <v>677792</v>
      </c>
      <c r="F19" s="66">
        <f t="shared" si="3"/>
        <v>865448</v>
      </c>
      <c r="G19" s="66">
        <f t="shared" si="3"/>
        <v>955684</v>
      </c>
      <c r="H19" s="66">
        <f t="shared" si="3"/>
        <v>966423</v>
      </c>
      <c r="I19" s="66">
        <f t="shared" si="3"/>
        <v>957771</v>
      </c>
      <c r="J19" s="66">
        <f t="shared" si="3"/>
        <v>984444</v>
      </c>
      <c r="K19" s="66">
        <f t="shared" si="3"/>
        <v>932672</v>
      </c>
      <c r="L19" s="66">
        <f t="shared" si="3"/>
        <v>921759</v>
      </c>
      <c r="M19" s="66">
        <f t="shared" si="3"/>
        <v>970772</v>
      </c>
      <c r="N19" s="66">
        <f t="shared" si="3"/>
        <v>926533</v>
      </c>
      <c r="O19" s="66">
        <f t="shared" si="3"/>
        <v>903645</v>
      </c>
      <c r="P19" s="66">
        <f t="shared" si="0"/>
        <v>10795265</v>
      </c>
    </row>
    <row r="20" spans="1:36" s="67" customFormat="1" ht="15" customHeight="1" x14ac:dyDescent="0.25">
      <c r="A20" s="138" t="s">
        <v>18</v>
      </c>
      <c r="B20" s="143" t="s">
        <v>95</v>
      </c>
      <c r="C20" s="47" t="s">
        <v>88</v>
      </c>
      <c r="D20" s="64">
        <v>87100</v>
      </c>
      <c r="E20" s="64">
        <v>80036</v>
      </c>
      <c r="F20" s="64">
        <v>84086</v>
      </c>
      <c r="G20" s="64">
        <v>85051</v>
      </c>
      <c r="H20" s="64">
        <v>88206</v>
      </c>
      <c r="I20" s="64">
        <v>76844</v>
      </c>
      <c r="J20" s="64">
        <v>75675</v>
      </c>
      <c r="K20" s="64">
        <v>74251</v>
      </c>
      <c r="L20" s="64">
        <v>62642</v>
      </c>
      <c r="M20" s="64">
        <v>58242</v>
      </c>
      <c r="N20" s="64">
        <v>55977</v>
      </c>
      <c r="O20" s="64">
        <v>54282</v>
      </c>
      <c r="P20" s="65">
        <f t="shared" si="0"/>
        <v>882392</v>
      </c>
    </row>
    <row r="21" spans="1:36" s="67" customFormat="1" x14ac:dyDescent="0.25">
      <c r="A21" s="137"/>
      <c r="B21" s="143"/>
      <c r="C21" s="47" t="s">
        <v>89</v>
      </c>
      <c r="D21" s="64">
        <v>136</v>
      </c>
      <c r="E21" s="64">
        <v>280</v>
      </c>
      <c r="F21" s="64">
        <v>328</v>
      </c>
      <c r="G21" s="64">
        <v>734</v>
      </c>
      <c r="H21" s="64">
        <v>666</v>
      </c>
      <c r="I21" s="64">
        <v>349</v>
      </c>
      <c r="J21" s="64">
        <v>296</v>
      </c>
      <c r="K21" s="64">
        <v>257</v>
      </c>
      <c r="L21" s="64">
        <v>258</v>
      </c>
      <c r="M21" s="64">
        <v>153</v>
      </c>
      <c r="N21" s="64">
        <v>480</v>
      </c>
      <c r="O21" s="64">
        <v>114</v>
      </c>
      <c r="P21" s="65">
        <f t="shared" si="0"/>
        <v>4051</v>
      </c>
    </row>
    <row r="22" spans="1:36" s="67" customFormat="1" x14ac:dyDescent="0.25">
      <c r="A22" s="137"/>
      <c r="B22" s="143"/>
      <c r="C22" s="47" t="s">
        <v>90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5">
        <f t="shared" si="0"/>
        <v>0</v>
      </c>
    </row>
    <row r="23" spans="1:36" s="67" customFormat="1" x14ac:dyDescent="0.25">
      <c r="A23" s="134" t="s">
        <v>93</v>
      </c>
      <c r="B23" s="135"/>
      <c r="C23" s="136"/>
      <c r="D23" s="66">
        <f>D20-D21</f>
        <v>86964</v>
      </c>
      <c r="E23" s="66">
        <f t="shared" ref="E23:O23" si="4">E20-E21</f>
        <v>79756</v>
      </c>
      <c r="F23" s="66">
        <f t="shared" si="4"/>
        <v>83758</v>
      </c>
      <c r="G23" s="66">
        <f t="shared" si="4"/>
        <v>84317</v>
      </c>
      <c r="H23" s="66">
        <f t="shared" si="4"/>
        <v>87540</v>
      </c>
      <c r="I23" s="66">
        <f t="shared" si="4"/>
        <v>76495</v>
      </c>
      <c r="J23" s="66">
        <f t="shared" si="4"/>
        <v>75379</v>
      </c>
      <c r="K23" s="66">
        <f t="shared" si="4"/>
        <v>73994</v>
      </c>
      <c r="L23" s="66">
        <f t="shared" si="4"/>
        <v>62384</v>
      </c>
      <c r="M23" s="66">
        <f t="shared" si="4"/>
        <v>58089</v>
      </c>
      <c r="N23" s="66">
        <f t="shared" si="4"/>
        <v>55497</v>
      </c>
      <c r="O23" s="66">
        <f t="shared" si="4"/>
        <v>54168</v>
      </c>
      <c r="P23" s="66">
        <f t="shared" si="0"/>
        <v>878341</v>
      </c>
    </row>
    <row r="24" spans="1:36" x14ac:dyDescent="0.25">
      <c r="A24" s="137" t="s">
        <v>12</v>
      </c>
      <c r="B24" s="143" t="s">
        <v>96</v>
      </c>
      <c r="C24" s="47" t="s">
        <v>88</v>
      </c>
      <c r="D24" s="64">
        <v>320430</v>
      </c>
      <c r="E24" s="64">
        <v>263395</v>
      </c>
      <c r="F24" s="64">
        <v>276438</v>
      </c>
      <c r="G24" s="72">
        <v>241596</v>
      </c>
      <c r="H24" s="64">
        <v>254395</v>
      </c>
      <c r="I24" s="64">
        <v>222721</v>
      </c>
      <c r="J24" s="64">
        <v>120956</v>
      </c>
      <c r="K24" s="64">
        <v>230148</v>
      </c>
      <c r="L24" s="64">
        <v>255645</v>
      </c>
      <c r="M24" s="64">
        <v>242319</v>
      </c>
      <c r="N24" s="64">
        <v>217203</v>
      </c>
      <c r="O24" s="64">
        <v>212967</v>
      </c>
      <c r="P24" s="65">
        <f t="shared" si="0"/>
        <v>2858213</v>
      </c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</row>
    <row r="25" spans="1:36" x14ac:dyDescent="0.25">
      <c r="A25" s="137"/>
      <c r="B25" s="143"/>
      <c r="C25" s="47" t="s">
        <v>89</v>
      </c>
      <c r="D25" s="64">
        <v>0</v>
      </c>
      <c r="E25" s="64">
        <v>0</v>
      </c>
      <c r="F25" s="64">
        <v>0</v>
      </c>
      <c r="G25" s="72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72">
        <v>0</v>
      </c>
      <c r="O25" s="72">
        <v>0</v>
      </c>
      <c r="P25" s="65">
        <f t="shared" si="0"/>
        <v>0</v>
      </c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</row>
    <row r="26" spans="1:36" x14ac:dyDescent="0.25">
      <c r="A26" s="137"/>
      <c r="B26" s="143"/>
      <c r="C26" s="47" t="s">
        <v>90</v>
      </c>
      <c r="D26" s="64">
        <v>0</v>
      </c>
      <c r="E26" s="64">
        <v>0</v>
      </c>
      <c r="F26" s="64">
        <v>0</v>
      </c>
      <c r="G26" s="72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72">
        <v>0</v>
      </c>
      <c r="O26" s="72">
        <v>0</v>
      </c>
      <c r="P26" s="65">
        <f t="shared" si="0"/>
        <v>0</v>
      </c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</row>
    <row r="27" spans="1:36" x14ac:dyDescent="0.25">
      <c r="A27" s="137"/>
      <c r="B27" s="143" t="s">
        <v>97</v>
      </c>
      <c r="C27" s="47" t="s">
        <v>88</v>
      </c>
      <c r="D27" s="64">
        <v>69611</v>
      </c>
      <c r="E27" s="64">
        <v>83916</v>
      </c>
      <c r="F27" s="64">
        <v>88673</v>
      </c>
      <c r="G27" s="72">
        <v>96600</v>
      </c>
      <c r="H27" s="64">
        <v>116570</v>
      </c>
      <c r="I27" s="64">
        <v>113638</v>
      </c>
      <c r="J27" s="64">
        <v>110839</v>
      </c>
      <c r="K27" s="64">
        <v>108580</v>
      </c>
      <c r="L27" s="64">
        <v>67099</v>
      </c>
      <c r="M27" s="64">
        <v>109087</v>
      </c>
      <c r="N27" s="72">
        <v>162426</v>
      </c>
      <c r="O27" s="72">
        <v>164346</v>
      </c>
      <c r="P27" s="65">
        <f t="shared" si="0"/>
        <v>1291385</v>
      </c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</row>
    <row r="28" spans="1:36" x14ac:dyDescent="0.25">
      <c r="A28" s="137"/>
      <c r="B28" s="143"/>
      <c r="C28" s="47" t="s">
        <v>89</v>
      </c>
      <c r="D28" s="64">
        <v>0</v>
      </c>
      <c r="E28" s="64">
        <v>0</v>
      </c>
      <c r="F28" s="64">
        <v>0</v>
      </c>
      <c r="G28" s="72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72">
        <v>0</v>
      </c>
      <c r="O28" s="72">
        <v>0</v>
      </c>
      <c r="P28" s="65">
        <f t="shared" si="0"/>
        <v>0</v>
      </c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</row>
    <row r="29" spans="1:36" x14ac:dyDescent="0.25">
      <c r="A29" s="137"/>
      <c r="B29" s="143"/>
      <c r="C29" s="47" t="s">
        <v>90</v>
      </c>
      <c r="D29" s="64">
        <v>0</v>
      </c>
      <c r="E29" s="64">
        <v>0</v>
      </c>
      <c r="F29" s="64">
        <v>0</v>
      </c>
      <c r="G29" s="72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72">
        <v>0</v>
      </c>
      <c r="O29" s="72">
        <v>0</v>
      </c>
      <c r="P29" s="65">
        <f t="shared" si="0"/>
        <v>0</v>
      </c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</row>
    <row r="30" spans="1:36" x14ac:dyDescent="0.25">
      <c r="A30" s="140" t="s">
        <v>93</v>
      </c>
      <c r="B30" s="141"/>
      <c r="C30" s="142"/>
      <c r="D30" s="66">
        <f>(D27+D24)-(D25+D28)</f>
        <v>390041</v>
      </c>
      <c r="E30" s="66">
        <f t="shared" ref="E30:O30" si="5">(E27+E24)-(E25+E28)</f>
        <v>347311</v>
      </c>
      <c r="F30" s="66">
        <f t="shared" si="5"/>
        <v>365111</v>
      </c>
      <c r="G30" s="66">
        <f t="shared" si="5"/>
        <v>338196</v>
      </c>
      <c r="H30" s="66">
        <f t="shared" si="5"/>
        <v>370965</v>
      </c>
      <c r="I30" s="66">
        <f t="shared" si="5"/>
        <v>336359</v>
      </c>
      <c r="J30" s="66">
        <f t="shared" si="5"/>
        <v>231795</v>
      </c>
      <c r="K30" s="66">
        <f t="shared" si="5"/>
        <v>338728</v>
      </c>
      <c r="L30" s="66">
        <f t="shared" si="5"/>
        <v>322744</v>
      </c>
      <c r="M30" s="66">
        <f t="shared" si="5"/>
        <v>351406</v>
      </c>
      <c r="N30" s="66">
        <f t="shared" si="5"/>
        <v>379629</v>
      </c>
      <c r="O30" s="66">
        <f t="shared" si="5"/>
        <v>377313</v>
      </c>
      <c r="P30" s="66">
        <f t="shared" si="0"/>
        <v>4149598</v>
      </c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</row>
    <row r="31" spans="1:36" s="67" customFormat="1" ht="13.5" customHeight="1" x14ac:dyDescent="0.25">
      <c r="A31" s="145" t="s">
        <v>98</v>
      </c>
      <c r="B31" s="146"/>
      <c r="C31" s="147"/>
      <c r="D31" s="73">
        <f>D27+D24+D20+D16+D12+D8+D5+D2</f>
        <v>5430304</v>
      </c>
      <c r="E31" s="73">
        <f t="shared" ref="E31:O31" si="6">E27+E24+E20+E16+E12+E8+E5+E2</f>
        <v>4921701</v>
      </c>
      <c r="F31" s="73">
        <f t="shared" si="6"/>
        <v>5278619</v>
      </c>
      <c r="G31" s="73">
        <f t="shared" si="6"/>
        <v>5224088</v>
      </c>
      <c r="H31" s="73">
        <f t="shared" si="6"/>
        <v>5292132</v>
      </c>
      <c r="I31" s="73">
        <f t="shared" si="6"/>
        <v>5066554</v>
      </c>
      <c r="J31" s="73">
        <f t="shared" si="6"/>
        <v>5144543</v>
      </c>
      <c r="K31" s="73">
        <f t="shared" si="6"/>
        <v>5091877</v>
      </c>
      <c r="L31" s="73">
        <f t="shared" si="6"/>
        <v>4836929</v>
      </c>
      <c r="M31" s="73">
        <f t="shared" si="6"/>
        <v>4902565</v>
      </c>
      <c r="N31" s="73">
        <f t="shared" si="6"/>
        <v>4517750</v>
      </c>
      <c r="O31" s="73">
        <f t="shared" si="6"/>
        <v>4798718</v>
      </c>
      <c r="P31" s="73">
        <f t="shared" si="0"/>
        <v>60505780</v>
      </c>
      <c r="Q31" s="70"/>
    </row>
    <row r="32" spans="1:36" x14ac:dyDescent="0.25">
      <c r="A32" s="144" t="s">
        <v>99</v>
      </c>
      <c r="B32" s="144"/>
      <c r="C32" s="144"/>
      <c r="D32" s="74">
        <f>D30+D23+D19+D15+D11</f>
        <v>5427294</v>
      </c>
      <c r="E32" s="74">
        <f t="shared" ref="E32:O32" si="7">E30+E23+E19+E15+E11</f>
        <v>4914016</v>
      </c>
      <c r="F32" s="74">
        <f t="shared" si="7"/>
        <v>5270228</v>
      </c>
      <c r="G32" s="74">
        <f t="shared" si="7"/>
        <v>5206790</v>
      </c>
      <c r="H32" s="74">
        <f t="shared" si="7"/>
        <v>5275982</v>
      </c>
      <c r="I32" s="74">
        <f t="shared" si="7"/>
        <v>5056353</v>
      </c>
      <c r="J32" s="74">
        <f t="shared" si="7"/>
        <v>5136033</v>
      </c>
      <c r="K32" s="74">
        <f t="shared" si="7"/>
        <v>5084278</v>
      </c>
      <c r="L32" s="74">
        <f t="shared" si="7"/>
        <v>4828265</v>
      </c>
      <c r="M32" s="74">
        <f t="shared" si="7"/>
        <v>4897153</v>
      </c>
      <c r="N32" s="74">
        <f t="shared" si="7"/>
        <v>4503999</v>
      </c>
      <c r="O32" s="74">
        <f t="shared" si="7"/>
        <v>4793720</v>
      </c>
      <c r="P32" s="75">
        <f t="shared" si="0"/>
        <v>60394111</v>
      </c>
      <c r="Q32" s="7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</row>
    <row r="33" spans="1:36" x14ac:dyDescent="0.25">
      <c r="A33" s="76"/>
      <c r="B33" s="63"/>
      <c r="C33" s="63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</row>
  </sheetData>
  <mergeCells count="20">
    <mergeCell ref="A32:C32"/>
    <mergeCell ref="A23:C23"/>
    <mergeCell ref="A24:A29"/>
    <mergeCell ref="B24:B26"/>
    <mergeCell ref="B27:B29"/>
    <mergeCell ref="A30:C30"/>
    <mergeCell ref="A31:C31"/>
    <mergeCell ref="A15:C15"/>
    <mergeCell ref="A16:A18"/>
    <mergeCell ref="B16:B18"/>
    <mergeCell ref="A19:C19"/>
    <mergeCell ref="A20:A22"/>
    <mergeCell ref="B20:B22"/>
    <mergeCell ref="A12:A14"/>
    <mergeCell ref="B12:B14"/>
    <mergeCell ref="A2:A10"/>
    <mergeCell ref="B2:B4"/>
    <mergeCell ref="B5:B7"/>
    <mergeCell ref="B8:B10"/>
    <mergeCell ref="A11:C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C8" sqref="C8"/>
    </sheetView>
  </sheetViews>
  <sheetFormatPr baseColWidth="10" defaultRowHeight="15" x14ac:dyDescent="0.25"/>
  <cols>
    <col min="1" max="1" width="9.7109375" bestFit="1" customWidth="1"/>
    <col min="2" max="2" width="9.42578125" bestFit="1" customWidth="1"/>
    <col min="3" max="3" width="4.85546875" bestFit="1" customWidth="1"/>
    <col min="4" max="4" width="7.7109375" bestFit="1" customWidth="1"/>
    <col min="5" max="5" width="7.85546875" bestFit="1" customWidth="1"/>
    <col min="6" max="6" width="10.140625" bestFit="1" customWidth="1"/>
    <col min="7" max="7" width="10" bestFit="1" customWidth="1"/>
  </cols>
  <sheetData>
    <row r="1" spans="1:7" ht="27" x14ac:dyDescent="0.25">
      <c r="A1" s="77" t="s">
        <v>0</v>
      </c>
      <c r="B1" s="77" t="s">
        <v>72</v>
      </c>
      <c r="C1" s="77" t="s">
        <v>29</v>
      </c>
      <c r="D1" s="77" t="s">
        <v>100</v>
      </c>
      <c r="E1" s="77" t="s">
        <v>101</v>
      </c>
      <c r="F1" s="77" t="s">
        <v>102</v>
      </c>
      <c r="G1" s="77" t="s">
        <v>103</v>
      </c>
    </row>
    <row r="2" spans="1:7" x14ac:dyDescent="0.25">
      <c r="A2" s="144" t="s">
        <v>3</v>
      </c>
      <c r="B2" s="77" t="s">
        <v>94</v>
      </c>
      <c r="C2" s="144">
        <v>2004</v>
      </c>
      <c r="D2" s="148" t="s">
        <v>104</v>
      </c>
      <c r="E2" s="77">
        <v>1473739</v>
      </c>
      <c r="F2" s="77">
        <v>1525777</v>
      </c>
      <c r="G2" s="77">
        <f>F2-E2</f>
        <v>52038</v>
      </c>
    </row>
    <row r="3" spans="1:7" ht="27" x14ac:dyDescent="0.25">
      <c r="A3" s="144"/>
      <c r="B3" s="77" t="s">
        <v>105</v>
      </c>
      <c r="C3" s="144"/>
      <c r="D3" s="149"/>
      <c r="E3" s="77">
        <v>826068</v>
      </c>
      <c r="F3" s="77">
        <v>855593</v>
      </c>
      <c r="G3" s="77">
        <f t="shared" ref="G3" si="0">F3-E3</f>
        <v>29525</v>
      </c>
    </row>
    <row r="4" spans="1:7" x14ac:dyDescent="0.25">
      <c r="A4" s="150" t="s">
        <v>106</v>
      </c>
      <c r="B4" s="150"/>
      <c r="C4" s="150"/>
      <c r="D4" s="150"/>
      <c r="E4" s="150"/>
      <c r="F4" s="150"/>
      <c r="G4" s="78">
        <f>SUM(G2:G3)</f>
        <v>81563</v>
      </c>
    </row>
  </sheetData>
  <mergeCells count="4">
    <mergeCell ref="A2:A3"/>
    <mergeCell ref="C2:C3"/>
    <mergeCell ref="D2:D3"/>
    <mergeCell ref="A4:F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E18" sqref="E18"/>
    </sheetView>
  </sheetViews>
  <sheetFormatPr baseColWidth="10" defaultRowHeight="13.5" x14ac:dyDescent="0.25"/>
  <cols>
    <col min="1" max="1" width="10.7109375" style="62" customWidth="1"/>
    <col min="2" max="2" width="13.28515625" style="62" customWidth="1"/>
    <col min="3" max="3" width="12.28515625" style="62" bestFit="1" customWidth="1"/>
    <col min="4" max="9" width="8.7109375" style="62" bestFit="1" customWidth="1"/>
    <col min="10" max="10" width="8.7109375" style="63" bestFit="1" customWidth="1"/>
    <col min="11" max="12" width="8.7109375" style="62" bestFit="1" customWidth="1"/>
    <col min="13" max="13" width="9.28515625" style="62" bestFit="1" customWidth="1"/>
    <col min="14" max="15" width="8.7109375" style="62" bestFit="1" customWidth="1"/>
    <col min="16" max="17" width="9.5703125" style="62" bestFit="1" customWidth="1"/>
    <col min="18" max="18" width="11.42578125" style="62"/>
    <col min="19" max="20" width="8.7109375" style="62" bestFit="1" customWidth="1"/>
    <col min="21" max="16384" width="11.42578125" style="62"/>
  </cols>
  <sheetData>
    <row r="1" spans="1:20" ht="25.5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85</v>
      </c>
      <c r="P1" s="45" t="s">
        <v>86</v>
      </c>
      <c r="S1" s="63"/>
      <c r="T1" s="63"/>
    </row>
    <row r="2" spans="1:20" x14ac:dyDescent="0.25">
      <c r="A2" s="124" t="s">
        <v>3</v>
      </c>
      <c r="B2" s="128" t="s">
        <v>87</v>
      </c>
      <c r="C2" s="61" t="s">
        <v>88</v>
      </c>
      <c r="D2" s="64">
        <v>880659</v>
      </c>
      <c r="E2" s="64">
        <v>758660</v>
      </c>
      <c r="F2" s="64">
        <v>800702</v>
      </c>
      <c r="G2" s="64">
        <v>768554</v>
      </c>
      <c r="H2" s="64">
        <v>708431</v>
      </c>
      <c r="I2" s="64">
        <v>765032</v>
      </c>
      <c r="J2" s="64">
        <v>801359</v>
      </c>
      <c r="K2" s="64">
        <v>793201</v>
      </c>
      <c r="L2" s="64">
        <v>747453</v>
      </c>
      <c r="M2" s="64">
        <v>742650</v>
      </c>
      <c r="N2" s="64">
        <v>719628</v>
      </c>
      <c r="O2" s="64">
        <v>762402</v>
      </c>
      <c r="P2" s="65">
        <f>SUM(D2:O2)</f>
        <v>9248731</v>
      </c>
      <c r="S2" s="63"/>
      <c r="T2" s="63"/>
    </row>
    <row r="3" spans="1:20" x14ac:dyDescent="0.25">
      <c r="A3" s="124"/>
      <c r="B3" s="129"/>
      <c r="C3" s="61" t="s">
        <v>89</v>
      </c>
      <c r="D3" s="64">
        <v>0</v>
      </c>
      <c r="E3" s="64">
        <v>0</v>
      </c>
      <c r="F3" s="64">
        <v>0</v>
      </c>
      <c r="G3" s="64">
        <v>0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4">
        <v>0</v>
      </c>
      <c r="N3" s="64">
        <v>0</v>
      </c>
      <c r="O3" s="64">
        <v>0</v>
      </c>
      <c r="P3" s="65">
        <f t="shared" ref="P3:P38" si="0">SUM(D3:O3)</f>
        <v>0</v>
      </c>
      <c r="S3" s="63"/>
      <c r="T3" s="63"/>
    </row>
    <row r="4" spans="1:20" x14ac:dyDescent="0.25">
      <c r="A4" s="124"/>
      <c r="B4" s="130"/>
      <c r="C4" s="61" t="s">
        <v>90</v>
      </c>
      <c r="D4" s="64">
        <v>0</v>
      </c>
      <c r="E4" s="64">
        <v>0</v>
      </c>
      <c r="F4" s="64">
        <v>0</v>
      </c>
      <c r="G4" s="64">
        <v>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4">
        <v>0</v>
      </c>
      <c r="N4" s="64">
        <v>0</v>
      </c>
      <c r="O4" s="64">
        <v>0</v>
      </c>
      <c r="P4" s="65">
        <f t="shared" si="0"/>
        <v>0</v>
      </c>
      <c r="S4" s="63"/>
      <c r="T4" s="63"/>
    </row>
    <row r="5" spans="1:20" x14ac:dyDescent="0.25">
      <c r="A5" s="124"/>
      <c r="B5" s="128" t="s">
        <v>91</v>
      </c>
      <c r="C5" s="61" t="s">
        <v>88</v>
      </c>
      <c r="D5" s="64">
        <v>538358</v>
      </c>
      <c r="E5" s="64">
        <v>478709</v>
      </c>
      <c r="F5" s="64">
        <v>514243</v>
      </c>
      <c r="G5" s="64">
        <v>494150</v>
      </c>
      <c r="H5" s="64">
        <f>48714+440100</f>
        <v>488814</v>
      </c>
      <c r="I5" s="64">
        <v>464788</v>
      </c>
      <c r="J5" s="64">
        <v>470468</v>
      </c>
      <c r="K5" s="64">
        <v>451660</v>
      </c>
      <c r="L5" s="64">
        <v>429303</v>
      </c>
      <c r="M5" s="64">
        <f>27546+408091</f>
        <v>435637</v>
      </c>
      <c r="N5" s="64">
        <v>420816</v>
      </c>
      <c r="O5" s="64">
        <v>418728</v>
      </c>
      <c r="P5" s="65">
        <f t="shared" si="0"/>
        <v>5605674</v>
      </c>
      <c r="S5" s="63"/>
      <c r="T5" s="63"/>
    </row>
    <row r="6" spans="1:20" x14ac:dyDescent="0.25">
      <c r="A6" s="124"/>
      <c r="B6" s="129"/>
      <c r="C6" s="61" t="s">
        <v>89</v>
      </c>
      <c r="D6" s="64">
        <v>2965</v>
      </c>
      <c r="E6" s="64">
        <v>3195</v>
      </c>
      <c r="F6" s="64">
        <v>4904</v>
      </c>
      <c r="G6" s="64">
        <v>3623</v>
      </c>
      <c r="H6" s="64">
        <v>3837</v>
      </c>
      <c r="I6" s="64">
        <v>3090</v>
      </c>
      <c r="J6" s="64">
        <v>1560</v>
      </c>
      <c r="K6" s="64">
        <v>3341</v>
      </c>
      <c r="L6" s="64">
        <v>1980</v>
      </c>
      <c r="M6" s="64">
        <v>1859</v>
      </c>
      <c r="N6" s="64">
        <v>1490</v>
      </c>
      <c r="O6" s="64">
        <v>4167</v>
      </c>
      <c r="P6" s="65">
        <f t="shared" si="0"/>
        <v>36011</v>
      </c>
      <c r="S6" s="63"/>
      <c r="T6" s="63"/>
    </row>
    <row r="7" spans="1:20" x14ac:dyDescent="0.25">
      <c r="A7" s="124"/>
      <c r="B7" s="130"/>
      <c r="C7" s="61" t="s">
        <v>90</v>
      </c>
      <c r="D7" s="64">
        <v>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5">
        <f t="shared" si="0"/>
        <v>0</v>
      </c>
      <c r="S7" s="63"/>
      <c r="T7" s="63"/>
    </row>
    <row r="8" spans="1:20" x14ac:dyDescent="0.25">
      <c r="A8" s="124"/>
      <c r="B8" s="125" t="s">
        <v>92</v>
      </c>
      <c r="C8" s="61" t="s">
        <v>88</v>
      </c>
      <c r="D8" s="64">
        <v>493564</v>
      </c>
      <c r="E8" s="64">
        <v>361459</v>
      </c>
      <c r="F8" s="64">
        <v>362825</v>
      </c>
      <c r="G8" s="64">
        <f>280495+69237</f>
        <v>349732</v>
      </c>
      <c r="H8" s="64">
        <f>253816+69345</f>
        <v>323161</v>
      </c>
      <c r="I8" s="64">
        <v>300588</v>
      </c>
      <c r="J8" s="64">
        <v>290449</v>
      </c>
      <c r="K8" s="64">
        <v>284251</v>
      </c>
      <c r="L8" s="64">
        <v>290228</v>
      </c>
      <c r="M8" s="64">
        <f>241517+37612</f>
        <v>279129</v>
      </c>
      <c r="N8" s="64">
        <v>263593</v>
      </c>
      <c r="O8" s="64">
        <v>273025</v>
      </c>
      <c r="P8" s="65">
        <f t="shared" si="0"/>
        <v>3872004</v>
      </c>
      <c r="S8" s="63"/>
      <c r="T8" s="63"/>
    </row>
    <row r="9" spans="1:20" x14ac:dyDescent="0.25">
      <c r="A9" s="124"/>
      <c r="B9" s="126"/>
      <c r="C9" s="61" t="s">
        <v>89</v>
      </c>
      <c r="D9" s="64">
        <v>1935</v>
      </c>
      <c r="E9" s="64">
        <v>2147</v>
      </c>
      <c r="F9" s="64">
        <v>2974</v>
      </c>
      <c r="G9" s="64">
        <v>2276</v>
      </c>
      <c r="H9" s="64">
        <v>2128</v>
      </c>
      <c r="I9" s="64">
        <v>1860</v>
      </c>
      <c r="J9" s="64">
        <v>779</v>
      </c>
      <c r="K9" s="64">
        <v>2130</v>
      </c>
      <c r="L9" s="64">
        <v>1066</v>
      </c>
      <c r="M9" s="64">
        <v>1016</v>
      </c>
      <c r="N9" s="64">
        <v>909</v>
      </c>
      <c r="O9" s="64">
        <v>1810</v>
      </c>
      <c r="P9" s="65">
        <f t="shared" si="0"/>
        <v>21030</v>
      </c>
      <c r="S9" s="63"/>
      <c r="T9" s="63"/>
    </row>
    <row r="10" spans="1:20" x14ac:dyDescent="0.25">
      <c r="A10" s="127"/>
      <c r="B10" s="131"/>
      <c r="C10" s="61" t="s">
        <v>90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v>0</v>
      </c>
      <c r="O10" s="64">
        <v>0</v>
      </c>
      <c r="P10" s="65">
        <f t="shared" si="0"/>
        <v>0</v>
      </c>
      <c r="S10" s="63"/>
      <c r="T10" s="63"/>
    </row>
    <row r="11" spans="1:20" x14ac:dyDescent="0.25">
      <c r="A11" s="132" t="s">
        <v>93</v>
      </c>
      <c r="B11" s="125"/>
      <c r="C11" s="133"/>
      <c r="D11" s="66">
        <f>(D2+D5+D8)-(D3+D4+D6+D7+D9+D10)</f>
        <v>1907681</v>
      </c>
      <c r="E11" s="66">
        <f t="shared" ref="E11:O11" si="1">(E2+E5+E8)-(E3+E4+E6+E7+E9+E10)</f>
        <v>1593486</v>
      </c>
      <c r="F11" s="66">
        <f t="shared" si="1"/>
        <v>1669892</v>
      </c>
      <c r="G11" s="66">
        <f t="shared" si="1"/>
        <v>1606537</v>
      </c>
      <c r="H11" s="66">
        <f t="shared" si="1"/>
        <v>1514441</v>
      </c>
      <c r="I11" s="66">
        <f t="shared" si="1"/>
        <v>1525458</v>
      </c>
      <c r="J11" s="66">
        <f t="shared" si="1"/>
        <v>1559937</v>
      </c>
      <c r="K11" s="66">
        <f t="shared" si="1"/>
        <v>1523641</v>
      </c>
      <c r="L11" s="66">
        <f t="shared" si="1"/>
        <v>1463938</v>
      </c>
      <c r="M11" s="66">
        <f t="shared" si="1"/>
        <v>1454541</v>
      </c>
      <c r="N11" s="66">
        <f t="shared" si="1"/>
        <v>1401638</v>
      </c>
      <c r="O11" s="66">
        <f t="shared" si="1"/>
        <v>1448178</v>
      </c>
      <c r="P11" s="66">
        <f t="shared" si="0"/>
        <v>18669368</v>
      </c>
      <c r="S11" s="63"/>
      <c r="T11" s="63"/>
    </row>
    <row r="12" spans="1:20" x14ac:dyDescent="0.25">
      <c r="A12" s="124" t="s">
        <v>6</v>
      </c>
      <c r="B12" s="125" t="s">
        <v>92</v>
      </c>
      <c r="C12" s="61" t="s">
        <v>88</v>
      </c>
      <c r="D12" s="64">
        <v>392781</v>
      </c>
      <c r="E12" s="64">
        <v>381381</v>
      </c>
      <c r="F12" s="64">
        <v>481571</v>
      </c>
      <c r="G12" s="64">
        <v>422005</v>
      </c>
      <c r="H12" s="64">
        <v>441469</v>
      </c>
      <c r="I12" s="64">
        <v>380326</v>
      </c>
      <c r="J12" s="64">
        <v>390398</v>
      </c>
      <c r="K12" s="64">
        <v>401403</v>
      </c>
      <c r="L12" s="64">
        <v>353621</v>
      </c>
      <c r="M12" s="64">
        <v>341716</v>
      </c>
      <c r="N12" s="64">
        <v>315391</v>
      </c>
      <c r="O12" s="64">
        <v>292930</v>
      </c>
      <c r="P12" s="65">
        <f t="shared" si="0"/>
        <v>4594992</v>
      </c>
      <c r="S12" s="63"/>
      <c r="T12" s="63"/>
    </row>
    <row r="13" spans="1:20" x14ac:dyDescent="0.25">
      <c r="A13" s="124"/>
      <c r="B13" s="126"/>
      <c r="C13" s="61" t="s">
        <v>89</v>
      </c>
      <c r="D13" s="64">
        <v>2303</v>
      </c>
      <c r="E13" s="64">
        <v>3157</v>
      </c>
      <c r="F13" s="64">
        <v>5057</v>
      </c>
      <c r="G13" s="64">
        <v>3302</v>
      </c>
      <c r="H13" s="64">
        <v>3949</v>
      </c>
      <c r="I13" s="64">
        <v>2822</v>
      </c>
      <c r="J13" s="64">
        <v>1581</v>
      </c>
      <c r="K13" s="64">
        <v>3174</v>
      </c>
      <c r="L13" s="64">
        <v>1659</v>
      </c>
      <c r="M13" s="64">
        <v>1389</v>
      </c>
      <c r="N13" s="64">
        <v>1253</v>
      </c>
      <c r="O13" s="64">
        <v>2024</v>
      </c>
      <c r="P13" s="65">
        <f t="shared" si="0"/>
        <v>31670</v>
      </c>
      <c r="S13" s="63"/>
      <c r="T13" s="63"/>
    </row>
    <row r="14" spans="1:20" x14ac:dyDescent="0.25">
      <c r="A14" s="124"/>
      <c r="B14" s="126"/>
      <c r="C14" s="61" t="s">
        <v>90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v>0</v>
      </c>
      <c r="O14" s="64">
        <v>0</v>
      </c>
      <c r="P14" s="65">
        <f t="shared" si="0"/>
        <v>0</v>
      </c>
      <c r="S14" s="63"/>
      <c r="T14" s="63"/>
    </row>
    <row r="15" spans="1:20" s="67" customFormat="1" x14ac:dyDescent="0.25">
      <c r="A15" s="134" t="s">
        <v>93</v>
      </c>
      <c r="B15" s="135"/>
      <c r="C15" s="136"/>
      <c r="D15" s="66">
        <f>D12-D13</f>
        <v>390478</v>
      </c>
      <c r="E15" s="66">
        <f t="shared" ref="E15:O15" si="2">E12-E13</f>
        <v>378224</v>
      </c>
      <c r="F15" s="66">
        <f t="shared" si="2"/>
        <v>476514</v>
      </c>
      <c r="G15" s="66">
        <f t="shared" si="2"/>
        <v>418703</v>
      </c>
      <c r="H15" s="66">
        <f t="shared" si="2"/>
        <v>437520</v>
      </c>
      <c r="I15" s="66">
        <f t="shared" si="2"/>
        <v>377504</v>
      </c>
      <c r="J15" s="66">
        <f t="shared" si="2"/>
        <v>388817</v>
      </c>
      <c r="K15" s="66">
        <f t="shared" si="2"/>
        <v>398229</v>
      </c>
      <c r="L15" s="66">
        <f t="shared" si="2"/>
        <v>351962</v>
      </c>
      <c r="M15" s="66">
        <f t="shared" si="2"/>
        <v>340327</v>
      </c>
      <c r="N15" s="66">
        <f t="shared" si="2"/>
        <v>314138</v>
      </c>
      <c r="O15" s="66">
        <f t="shared" si="2"/>
        <v>290906</v>
      </c>
      <c r="P15" s="66">
        <f t="shared" si="0"/>
        <v>4563322</v>
      </c>
    </row>
    <row r="16" spans="1:20" s="67" customFormat="1" x14ac:dyDescent="0.25">
      <c r="A16" s="137" t="s">
        <v>8</v>
      </c>
      <c r="B16" s="138" t="s">
        <v>94</v>
      </c>
      <c r="C16" s="47" t="s">
        <v>88</v>
      </c>
      <c r="D16" s="64">
        <v>643737</v>
      </c>
      <c r="E16" s="64">
        <v>560206</v>
      </c>
      <c r="F16" s="64">
        <v>578044</v>
      </c>
      <c r="G16" s="64">
        <v>515113</v>
      </c>
      <c r="H16" s="64">
        <v>433919</v>
      </c>
      <c r="I16" s="64">
        <v>429510</v>
      </c>
      <c r="J16" s="64">
        <v>419518</v>
      </c>
      <c r="K16" s="64">
        <v>385117</v>
      </c>
      <c r="L16" s="64">
        <v>388553</v>
      </c>
      <c r="M16" s="64">
        <v>505949</v>
      </c>
      <c r="N16" s="64">
        <v>467034</v>
      </c>
      <c r="O16" s="64">
        <v>461419</v>
      </c>
      <c r="P16" s="65">
        <f t="shared" si="0"/>
        <v>5788119</v>
      </c>
    </row>
    <row r="17" spans="1:36" s="67" customFormat="1" ht="13.5" customHeight="1" x14ac:dyDescent="0.25">
      <c r="A17" s="137"/>
      <c r="B17" s="137"/>
      <c r="C17" s="47" t="s">
        <v>89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4">
        <v>0</v>
      </c>
      <c r="P17" s="65">
        <f t="shared" si="0"/>
        <v>0</v>
      </c>
    </row>
    <row r="18" spans="1:36" s="67" customFormat="1" ht="13.5" customHeight="1" x14ac:dyDescent="0.25">
      <c r="A18" s="137"/>
      <c r="B18" s="139"/>
      <c r="C18" s="47" t="s">
        <v>90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v>0</v>
      </c>
      <c r="O18" s="64">
        <v>0</v>
      </c>
      <c r="P18" s="65">
        <f t="shared" si="0"/>
        <v>0</v>
      </c>
    </row>
    <row r="19" spans="1:36" s="67" customFormat="1" ht="13.5" customHeight="1" x14ac:dyDescent="0.25">
      <c r="A19" s="137"/>
      <c r="B19" s="138" t="s">
        <v>111</v>
      </c>
      <c r="C19" s="47" t="s">
        <v>88</v>
      </c>
      <c r="D19" s="64">
        <v>17248</v>
      </c>
      <c r="E19" s="64">
        <v>36290</v>
      </c>
      <c r="F19" s="64">
        <v>36071</v>
      </c>
      <c r="G19" s="64">
        <v>33156</v>
      </c>
      <c r="H19" s="64">
        <v>30743</v>
      </c>
      <c r="I19" s="64">
        <v>19790</v>
      </c>
      <c r="J19" s="64">
        <v>26552</v>
      </c>
      <c r="K19" s="64">
        <v>24747</v>
      </c>
      <c r="L19" s="64">
        <v>24093</v>
      </c>
      <c r="M19" s="64">
        <v>24667</v>
      </c>
      <c r="N19" s="64">
        <v>25929</v>
      </c>
      <c r="O19" s="64">
        <v>19546</v>
      </c>
      <c r="P19" s="65">
        <f t="shared" si="0"/>
        <v>318832</v>
      </c>
    </row>
    <row r="20" spans="1:36" s="67" customFormat="1" ht="13.5" customHeight="1" x14ac:dyDescent="0.25">
      <c r="A20" s="137"/>
      <c r="B20" s="137"/>
      <c r="C20" s="47" t="s">
        <v>89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5">
        <f t="shared" si="0"/>
        <v>0</v>
      </c>
    </row>
    <row r="21" spans="1:36" s="67" customFormat="1" ht="13.5" customHeight="1" x14ac:dyDescent="0.25">
      <c r="A21" s="137"/>
      <c r="B21" s="139"/>
      <c r="C21" s="47" t="s">
        <v>90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5">
        <f t="shared" si="0"/>
        <v>0</v>
      </c>
    </row>
    <row r="22" spans="1:36" ht="13.5" customHeight="1" x14ac:dyDescent="0.25">
      <c r="A22" s="137"/>
      <c r="B22" s="138" t="s">
        <v>97</v>
      </c>
      <c r="C22" s="47" t="s">
        <v>88</v>
      </c>
      <c r="D22" s="64">
        <v>104592</v>
      </c>
      <c r="E22" s="68">
        <v>108418</v>
      </c>
      <c r="F22" s="64">
        <v>120977</v>
      </c>
      <c r="G22" s="64">
        <v>125769</v>
      </c>
      <c r="H22" s="64">
        <v>129080</v>
      </c>
      <c r="I22" s="64">
        <v>128533</v>
      </c>
      <c r="J22" s="64">
        <v>136623</v>
      </c>
      <c r="K22" s="64">
        <v>134827</v>
      </c>
      <c r="L22" s="64">
        <v>113789</v>
      </c>
      <c r="M22" s="64">
        <v>121605</v>
      </c>
      <c r="N22" s="64">
        <v>116654</v>
      </c>
      <c r="O22" s="64">
        <v>113986</v>
      </c>
      <c r="P22" s="65">
        <f t="shared" si="0"/>
        <v>1454853</v>
      </c>
      <c r="Q22" s="67"/>
      <c r="R22" s="67"/>
      <c r="S22" s="69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</row>
    <row r="23" spans="1:36" x14ac:dyDescent="0.25">
      <c r="A23" s="137"/>
      <c r="B23" s="137"/>
      <c r="C23" s="47" t="s">
        <v>89</v>
      </c>
      <c r="D23" s="64">
        <v>0</v>
      </c>
      <c r="E23" s="68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5">
        <f t="shared" si="0"/>
        <v>0</v>
      </c>
      <c r="Q23" s="67"/>
      <c r="R23" s="67"/>
      <c r="S23" s="70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</row>
    <row r="24" spans="1:36" x14ac:dyDescent="0.25">
      <c r="A24" s="137"/>
      <c r="B24" s="139"/>
      <c r="C24" s="47" t="s">
        <v>90</v>
      </c>
      <c r="D24" s="64">
        <v>0</v>
      </c>
      <c r="E24" s="68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5">
        <f t="shared" si="0"/>
        <v>0</v>
      </c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</row>
    <row r="25" spans="1:36" s="67" customFormat="1" ht="13.5" customHeight="1" x14ac:dyDescent="0.25">
      <c r="A25" s="140" t="s">
        <v>93</v>
      </c>
      <c r="B25" s="141"/>
      <c r="C25" s="142"/>
      <c r="D25" s="66">
        <f>(D16+D19+D22)-(D17+D20+D23)</f>
        <v>765577</v>
      </c>
      <c r="E25" s="66">
        <f t="shared" ref="E25:P25" si="3">(E16+E19+E22)-(E17+E20+E23)</f>
        <v>704914</v>
      </c>
      <c r="F25" s="66">
        <f t="shared" si="3"/>
        <v>735092</v>
      </c>
      <c r="G25" s="66">
        <f t="shared" si="3"/>
        <v>674038</v>
      </c>
      <c r="H25" s="66">
        <f t="shared" si="3"/>
        <v>593742</v>
      </c>
      <c r="I25" s="66">
        <f t="shared" si="3"/>
        <v>577833</v>
      </c>
      <c r="J25" s="66">
        <f t="shared" si="3"/>
        <v>582693</v>
      </c>
      <c r="K25" s="66">
        <f t="shared" si="3"/>
        <v>544691</v>
      </c>
      <c r="L25" s="66">
        <f t="shared" si="3"/>
        <v>526435</v>
      </c>
      <c r="M25" s="66">
        <f t="shared" si="3"/>
        <v>652221</v>
      </c>
      <c r="N25" s="66">
        <f t="shared" si="3"/>
        <v>609617</v>
      </c>
      <c r="O25" s="66">
        <f t="shared" si="3"/>
        <v>594951</v>
      </c>
      <c r="P25" s="66">
        <f t="shared" si="3"/>
        <v>7561804</v>
      </c>
      <c r="Q25" s="61"/>
    </row>
    <row r="26" spans="1:36" s="67" customFormat="1" ht="15" customHeight="1" x14ac:dyDescent="0.25">
      <c r="A26" s="138" t="s">
        <v>18</v>
      </c>
      <c r="B26" s="143" t="s">
        <v>95</v>
      </c>
      <c r="C26" s="47" t="s">
        <v>88</v>
      </c>
      <c r="D26" s="64">
        <v>79935</v>
      </c>
      <c r="E26" s="64">
        <v>67353</v>
      </c>
      <c r="F26" s="64">
        <v>72177</v>
      </c>
      <c r="G26" s="64">
        <v>66760</v>
      </c>
      <c r="H26" s="64">
        <v>87173</v>
      </c>
      <c r="I26" s="64">
        <v>83834</v>
      </c>
      <c r="J26" s="64">
        <v>79306</v>
      </c>
      <c r="K26" s="64">
        <v>74229</v>
      </c>
      <c r="L26" s="64">
        <v>68642</v>
      </c>
      <c r="M26" s="64">
        <v>68247</v>
      </c>
      <c r="N26" s="64">
        <v>55502</v>
      </c>
      <c r="O26" s="64">
        <v>51117</v>
      </c>
      <c r="P26" s="65">
        <f t="shared" si="0"/>
        <v>854275</v>
      </c>
    </row>
    <row r="27" spans="1:36" s="67" customFormat="1" x14ac:dyDescent="0.25">
      <c r="A27" s="137"/>
      <c r="B27" s="143"/>
      <c r="C27" s="47" t="s">
        <v>89</v>
      </c>
      <c r="D27" s="64">
        <v>467</v>
      </c>
      <c r="E27" s="64">
        <v>492</v>
      </c>
      <c r="F27" s="64">
        <v>758</v>
      </c>
      <c r="G27" s="64">
        <v>583</v>
      </c>
      <c r="H27" s="64">
        <v>792</v>
      </c>
      <c r="I27" s="64">
        <v>633</v>
      </c>
      <c r="J27" s="64">
        <v>263</v>
      </c>
      <c r="K27" s="64">
        <v>600</v>
      </c>
      <c r="L27" s="64">
        <v>344</v>
      </c>
      <c r="M27" s="64">
        <v>280</v>
      </c>
      <c r="N27" s="64">
        <v>196</v>
      </c>
      <c r="O27" s="64">
        <v>326</v>
      </c>
      <c r="P27" s="65">
        <f t="shared" si="0"/>
        <v>5734</v>
      </c>
    </row>
    <row r="28" spans="1:36" s="67" customFormat="1" x14ac:dyDescent="0.25">
      <c r="A28" s="137"/>
      <c r="B28" s="143"/>
      <c r="C28" s="47" t="s">
        <v>90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64">
        <v>0</v>
      </c>
      <c r="P28" s="65">
        <f t="shared" si="0"/>
        <v>0</v>
      </c>
    </row>
    <row r="29" spans="1:36" s="67" customFormat="1" x14ac:dyDescent="0.25">
      <c r="A29" s="134" t="s">
        <v>93</v>
      </c>
      <c r="B29" s="135"/>
      <c r="C29" s="136"/>
      <c r="D29" s="66">
        <f>D26-D27</f>
        <v>79468</v>
      </c>
      <c r="E29" s="66">
        <f t="shared" ref="E29:O29" si="4">E26-E27</f>
        <v>66861</v>
      </c>
      <c r="F29" s="66">
        <f t="shared" si="4"/>
        <v>71419</v>
      </c>
      <c r="G29" s="66">
        <f t="shared" si="4"/>
        <v>66177</v>
      </c>
      <c r="H29" s="66">
        <f t="shared" si="4"/>
        <v>86381</v>
      </c>
      <c r="I29" s="66">
        <f t="shared" si="4"/>
        <v>83201</v>
      </c>
      <c r="J29" s="66">
        <f t="shared" si="4"/>
        <v>79043</v>
      </c>
      <c r="K29" s="66">
        <f t="shared" si="4"/>
        <v>73629</v>
      </c>
      <c r="L29" s="66">
        <f t="shared" si="4"/>
        <v>68298</v>
      </c>
      <c r="M29" s="66">
        <f t="shared" si="4"/>
        <v>67967</v>
      </c>
      <c r="N29" s="66">
        <f t="shared" si="4"/>
        <v>55306</v>
      </c>
      <c r="O29" s="66">
        <f t="shared" si="4"/>
        <v>50791</v>
      </c>
      <c r="P29" s="66">
        <f t="shared" si="0"/>
        <v>848541</v>
      </c>
    </row>
    <row r="30" spans="1:36" x14ac:dyDescent="0.25">
      <c r="A30" s="137" t="s">
        <v>12</v>
      </c>
      <c r="B30" s="143" t="s">
        <v>96</v>
      </c>
      <c r="C30" s="47" t="s">
        <v>88</v>
      </c>
      <c r="D30" s="64">
        <v>122232</v>
      </c>
      <c r="E30" s="64">
        <v>101453</v>
      </c>
      <c r="F30" s="64">
        <v>110617</v>
      </c>
      <c r="G30" s="72">
        <v>101819</v>
      </c>
      <c r="H30" s="64">
        <f>23290+43594</f>
        <v>66884</v>
      </c>
      <c r="I30" s="64">
        <v>51692</v>
      </c>
      <c r="J30" s="64">
        <f>90164+29717</f>
        <v>119881</v>
      </c>
      <c r="K30" s="64">
        <v>115678</v>
      </c>
      <c r="L30" s="64">
        <v>164368</v>
      </c>
      <c r="M30" s="64">
        <f>1161+66982+21444</f>
        <v>89587</v>
      </c>
      <c r="N30" s="64">
        <v>98645</v>
      </c>
      <c r="O30" s="64">
        <v>210536</v>
      </c>
      <c r="P30" s="65">
        <f t="shared" si="0"/>
        <v>1353392</v>
      </c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</row>
    <row r="31" spans="1:36" x14ac:dyDescent="0.25">
      <c r="A31" s="137"/>
      <c r="B31" s="143"/>
      <c r="C31" s="47" t="s">
        <v>89</v>
      </c>
      <c r="D31" s="64">
        <v>0</v>
      </c>
      <c r="E31" s="64">
        <v>0</v>
      </c>
      <c r="F31" s="64">
        <v>0</v>
      </c>
      <c r="G31" s="72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72">
        <v>0</v>
      </c>
      <c r="O31" s="72">
        <v>0</v>
      </c>
      <c r="P31" s="65">
        <f t="shared" si="0"/>
        <v>0</v>
      </c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</row>
    <row r="32" spans="1:36" x14ac:dyDescent="0.25">
      <c r="A32" s="137"/>
      <c r="B32" s="143"/>
      <c r="C32" s="47" t="s">
        <v>90</v>
      </c>
      <c r="D32" s="64">
        <v>0</v>
      </c>
      <c r="E32" s="64">
        <v>0</v>
      </c>
      <c r="F32" s="64">
        <v>0</v>
      </c>
      <c r="G32" s="72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72">
        <v>0</v>
      </c>
      <c r="O32" s="72">
        <v>0</v>
      </c>
      <c r="P32" s="65">
        <f t="shared" si="0"/>
        <v>0</v>
      </c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</row>
    <row r="33" spans="1:36" x14ac:dyDescent="0.25">
      <c r="A33" s="137"/>
      <c r="B33" s="143" t="s">
        <v>97</v>
      </c>
      <c r="C33" s="47" t="s">
        <v>88</v>
      </c>
      <c r="D33" s="64">
        <v>143224</v>
      </c>
      <c r="E33" s="64">
        <v>126904</v>
      </c>
      <c r="F33" s="64">
        <v>146873</v>
      </c>
      <c r="G33" s="72">
        <v>142847</v>
      </c>
      <c r="H33" s="64">
        <v>138854</v>
      </c>
      <c r="I33" s="64">
        <v>128373</v>
      </c>
      <c r="J33" s="64">
        <v>133190</v>
      </c>
      <c r="K33" s="64">
        <v>132207</v>
      </c>
      <c r="L33" s="64">
        <v>128509</v>
      </c>
      <c r="M33" s="64">
        <v>136305</v>
      </c>
      <c r="N33" s="72">
        <v>134050</v>
      </c>
      <c r="O33" s="72">
        <v>108156</v>
      </c>
      <c r="P33" s="65">
        <f t="shared" si="0"/>
        <v>1599492</v>
      </c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</row>
    <row r="34" spans="1:36" x14ac:dyDescent="0.25">
      <c r="A34" s="137"/>
      <c r="B34" s="143"/>
      <c r="C34" s="47" t="s">
        <v>89</v>
      </c>
      <c r="D34" s="64">
        <v>0</v>
      </c>
      <c r="E34" s="64">
        <v>0</v>
      </c>
      <c r="F34" s="64">
        <v>0</v>
      </c>
      <c r="G34" s="72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72">
        <v>0</v>
      </c>
      <c r="O34" s="72">
        <v>0</v>
      </c>
      <c r="P34" s="65">
        <f t="shared" si="0"/>
        <v>0</v>
      </c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</row>
    <row r="35" spans="1:36" x14ac:dyDescent="0.25">
      <c r="A35" s="137"/>
      <c r="B35" s="143"/>
      <c r="C35" s="47" t="s">
        <v>90</v>
      </c>
      <c r="D35" s="64">
        <v>0</v>
      </c>
      <c r="E35" s="64">
        <v>0</v>
      </c>
      <c r="F35" s="64">
        <v>0</v>
      </c>
      <c r="G35" s="72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72">
        <v>0</v>
      </c>
      <c r="O35" s="72">
        <v>0</v>
      </c>
      <c r="P35" s="65">
        <f t="shared" si="0"/>
        <v>0</v>
      </c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</row>
    <row r="36" spans="1:36" x14ac:dyDescent="0.25">
      <c r="A36" s="140" t="s">
        <v>93</v>
      </c>
      <c r="B36" s="141"/>
      <c r="C36" s="142"/>
      <c r="D36" s="66">
        <f>(D33+D30)-(D31+D34)</f>
        <v>265456</v>
      </c>
      <c r="E36" s="66">
        <f t="shared" ref="E36:O36" si="5">(E33+E30)-(E31+E34)</f>
        <v>228357</v>
      </c>
      <c r="F36" s="66">
        <f t="shared" si="5"/>
        <v>257490</v>
      </c>
      <c r="G36" s="66">
        <f t="shared" si="5"/>
        <v>244666</v>
      </c>
      <c r="H36" s="66">
        <f t="shared" si="5"/>
        <v>205738</v>
      </c>
      <c r="I36" s="66">
        <f t="shared" si="5"/>
        <v>180065</v>
      </c>
      <c r="J36" s="66">
        <f t="shared" si="5"/>
        <v>253071</v>
      </c>
      <c r="K36" s="66">
        <f t="shared" si="5"/>
        <v>247885</v>
      </c>
      <c r="L36" s="66">
        <f t="shared" si="5"/>
        <v>292877</v>
      </c>
      <c r="M36" s="66">
        <f t="shared" si="5"/>
        <v>225892</v>
      </c>
      <c r="N36" s="66">
        <f t="shared" si="5"/>
        <v>232695</v>
      </c>
      <c r="O36" s="66">
        <f t="shared" si="5"/>
        <v>318692</v>
      </c>
      <c r="P36" s="66">
        <f t="shared" si="0"/>
        <v>2952884</v>
      </c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</row>
    <row r="37" spans="1:36" s="67" customFormat="1" ht="13.5" customHeight="1" x14ac:dyDescent="0.25">
      <c r="A37" s="145" t="s">
        <v>98</v>
      </c>
      <c r="B37" s="146"/>
      <c r="C37" s="147"/>
      <c r="D37" s="73">
        <f>D33+D30+D26+D22+D12+D8+D5+D2+D19+D16</f>
        <v>3416330</v>
      </c>
      <c r="E37" s="73">
        <f t="shared" ref="E37:P37" si="6">E33+E30+E26+E22+E12+E8+E5+E2+E19+E16</f>
        <v>2980833</v>
      </c>
      <c r="F37" s="73">
        <f t="shared" si="6"/>
        <v>3224100</v>
      </c>
      <c r="G37" s="73">
        <f t="shared" si="6"/>
        <v>3019905</v>
      </c>
      <c r="H37" s="73">
        <f t="shared" si="6"/>
        <v>2848528</v>
      </c>
      <c r="I37" s="73">
        <f t="shared" si="6"/>
        <v>2752466</v>
      </c>
      <c r="J37" s="73">
        <f t="shared" si="6"/>
        <v>2867744</v>
      </c>
      <c r="K37" s="73">
        <f t="shared" si="6"/>
        <v>2797320</v>
      </c>
      <c r="L37" s="73">
        <f t="shared" si="6"/>
        <v>2708559</v>
      </c>
      <c r="M37" s="73">
        <f t="shared" si="6"/>
        <v>2745492</v>
      </c>
      <c r="N37" s="73">
        <f t="shared" si="6"/>
        <v>2617242</v>
      </c>
      <c r="O37" s="73">
        <f t="shared" si="6"/>
        <v>2711845</v>
      </c>
      <c r="P37" s="73">
        <f t="shared" si="6"/>
        <v>34690364</v>
      </c>
      <c r="Q37" s="70"/>
    </row>
    <row r="38" spans="1:36" x14ac:dyDescent="0.25">
      <c r="A38" s="144" t="s">
        <v>99</v>
      </c>
      <c r="B38" s="144"/>
      <c r="C38" s="144"/>
      <c r="D38" s="74">
        <f>D36+D29+D25+D15+D11</f>
        <v>3408660</v>
      </c>
      <c r="E38" s="74">
        <f t="shared" ref="E38:O38" si="7">E36+E29+E25+E15+E11</f>
        <v>2971842</v>
      </c>
      <c r="F38" s="74">
        <f t="shared" si="7"/>
        <v>3210407</v>
      </c>
      <c r="G38" s="74">
        <f t="shared" si="7"/>
        <v>3010121</v>
      </c>
      <c r="H38" s="74">
        <f t="shared" si="7"/>
        <v>2837822</v>
      </c>
      <c r="I38" s="74">
        <f t="shared" si="7"/>
        <v>2744061</v>
      </c>
      <c r="J38" s="74">
        <f t="shared" si="7"/>
        <v>2863561</v>
      </c>
      <c r="K38" s="74">
        <f t="shared" si="7"/>
        <v>2788075</v>
      </c>
      <c r="L38" s="74">
        <f t="shared" si="7"/>
        <v>2703510</v>
      </c>
      <c r="M38" s="74">
        <f t="shared" si="7"/>
        <v>2740948</v>
      </c>
      <c r="N38" s="74">
        <f t="shared" si="7"/>
        <v>2613394</v>
      </c>
      <c r="O38" s="74">
        <f t="shared" si="7"/>
        <v>2703518</v>
      </c>
      <c r="P38" s="75">
        <f t="shared" si="0"/>
        <v>34595919</v>
      </c>
      <c r="Q38" s="70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 x14ac:dyDescent="0.25">
      <c r="A39" s="76"/>
      <c r="B39" s="63"/>
      <c r="C39" s="63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</row>
  </sheetData>
  <mergeCells count="22">
    <mergeCell ref="A36:C36"/>
    <mergeCell ref="A37:C37"/>
    <mergeCell ref="A38:C38"/>
    <mergeCell ref="A26:A28"/>
    <mergeCell ref="B26:B28"/>
    <mergeCell ref="A29:C29"/>
    <mergeCell ref="A30:A35"/>
    <mergeCell ref="B30:B32"/>
    <mergeCell ref="B33:B35"/>
    <mergeCell ref="A25:C25"/>
    <mergeCell ref="A2:A10"/>
    <mergeCell ref="B2:B4"/>
    <mergeCell ref="B5:B7"/>
    <mergeCell ref="B8:B10"/>
    <mergeCell ref="A11:C11"/>
    <mergeCell ref="A12:A14"/>
    <mergeCell ref="B12:B14"/>
    <mergeCell ref="A15:C15"/>
    <mergeCell ref="A16:A24"/>
    <mergeCell ref="B16:B18"/>
    <mergeCell ref="B19:B21"/>
    <mergeCell ref="B22:B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C3" sqref="C3"/>
    </sheetView>
  </sheetViews>
  <sheetFormatPr baseColWidth="10" defaultRowHeight="15" x14ac:dyDescent="0.25"/>
  <sheetData>
    <row r="1" spans="1:5" x14ac:dyDescent="0.25">
      <c r="A1" s="151" t="s">
        <v>29</v>
      </c>
      <c r="B1" s="151" t="s">
        <v>0</v>
      </c>
      <c r="C1" s="152" t="s">
        <v>99</v>
      </c>
      <c r="D1" s="153"/>
      <c r="E1" s="151" t="s">
        <v>112</v>
      </c>
    </row>
    <row r="2" spans="1:5" ht="90" x14ac:dyDescent="0.25">
      <c r="A2" s="151"/>
      <c r="B2" s="151"/>
      <c r="C2" s="85" t="s">
        <v>113</v>
      </c>
      <c r="D2" s="86" t="s">
        <v>114</v>
      </c>
      <c r="E2" s="151"/>
    </row>
    <row r="3" spans="1:5" x14ac:dyDescent="0.25">
      <c r="A3" s="151">
        <v>1999</v>
      </c>
      <c r="B3" s="3" t="s">
        <v>3</v>
      </c>
      <c r="C3" s="50">
        <v>99445311</v>
      </c>
      <c r="D3" s="50">
        <v>99444213</v>
      </c>
      <c r="E3" s="50">
        <f t="shared" ref="E3:E29" si="0">C3-D3</f>
        <v>1098</v>
      </c>
    </row>
    <row r="4" spans="1:5" ht="30" x14ac:dyDescent="0.25">
      <c r="A4" s="151"/>
      <c r="B4" s="3" t="s">
        <v>6</v>
      </c>
      <c r="C4" s="50">
        <v>56030202</v>
      </c>
      <c r="D4" s="50">
        <v>56030200</v>
      </c>
      <c r="E4" s="50">
        <f t="shared" si="0"/>
        <v>2</v>
      </c>
    </row>
    <row r="5" spans="1:5" ht="45" x14ac:dyDescent="0.25">
      <c r="A5" s="151"/>
      <c r="B5" s="3" t="s">
        <v>18</v>
      </c>
      <c r="C5" s="50">
        <v>1510920</v>
      </c>
      <c r="D5" s="50">
        <v>1510924</v>
      </c>
      <c r="E5" s="50">
        <f t="shared" si="0"/>
        <v>-4</v>
      </c>
    </row>
    <row r="6" spans="1:5" x14ac:dyDescent="0.25">
      <c r="A6" s="151"/>
      <c r="B6" s="3" t="s">
        <v>8</v>
      </c>
      <c r="C6" s="50">
        <v>0</v>
      </c>
      <c r="D6" s="50">
        <v>0</v>
      </c>
      <c r="E6" s="50">
        <f t="shared" si="0"/>
        <v>0</v>
      </c>
    </row>
    <row r="7" spans="1:5" ht="30" x14ac:dyDescent="0.25">
      <c r="A7" s="151"/>
      <c r="B7" s="3" t="s">
        <v>12</v>
      </c>
      <c r="C7" s="50">
        <v>0</v>
      </c>
      <c r="D7" s="50">
        <v>0</v>
      </c>
      <c r="E7" s="50">
        <f t="shared" si="0"/>
        <v>0</v>
      </c>
    </row>
    <row r="8" spans="1:5" x14ac:dyDescent="0.25">
      <c r="A8" s="151"/>
      <c r="B8" s="85" t="s">
        <v>11</v>
      </c>
      <c r="C8" s="86">
        <f>SUM(C3:C7)</f>
        <v>156986433</v>
      </c>
      <c r="D8" s="86">
        <f>SUM(D3:D7)</f>
        <v>156985337</v>
      </c>
      <c r="E8" s="86">
        <f t="shared" si="0"/>
        <v>1096</v>
      </c>
    </row>
    <row r="9" spans="1:5" x14ac:dyDescent="0.25">
      <c r="A9" s="151">
        <v>2000</v>
      </c>
      <c r="B9" s="3" t="s">
        <v>3</v>
      </c>
      <c r="C9" s="50">
        <v>87142081</v>
      </c>
      <c r="D9" s="50">
        <v>87777613</v>
      </c>
      <c r="E9" s="50">
        <f t="shared" si="0"/>
        <v>-635532</v>
      </c>
    </row>
    <row r="10" spans="1:5" ht="30" x14ac:dyDescent="0.25">
      <c r="A10" s="151"/>
      <c r="B10" s="3" t="s">
        <v>6</v>
      </c>
      <c r="C10" s="50">
        <v>34924434</v>
      </c>
      <c r="D10" s="50">
        <v>34272206</v>
      </c>
      <c r="E10" s="50">
        <f t="shared" si="0"/>
        <v>652228</v>
      </c>
    </row>
    <row r="11" spans="1:5" ht="45" x14ac:dyDescent="0.25">
      <c r="A11" s="151"/>
      <c r="B11" s="3" t="s">
        <v>18</v>
      </c>
      <c r="C11" s="50">
        <v>1721453</v>
      </c>
      <c r="D11" s="50">
        <v>1721445</v>
      </c>
      <c r="E11" s="50">
        <f t="shared" si="0"/>
        <v>8</v>
      </c>
    </row>
    <row r="12" spans="1:5" x14ac:dyDescent="0.25">
      <c r="A12" s="151"/>
      <c r="B12" s="3" t="s">
        <v>8</v>
      </c>
      <c r="C12" s="50">
        <v>227564</v>
      </c>
      <c r="D12" s="50">
        <v>170412</v>
      </c>
      <c r="E12" s="50">
        <f t="shared" si="0"/>
        <v>57152</v>
      </c>
    </row>
    <row r="13" spans="1:5" ht="30" x14ac:dyDescent="0.25">
      <c r="A13" s="151"/>
      <c r="B13" s="3" t="s">
        <v>12</v>
      </c>
      <c r="C13" s="50">
        <v>0</v>
      </c>
      <c r="D13" s="50">
        <v>0</v>
      </c>
      <c r="E13" s="50">
        <f t="shared" si="0"/>
        <v>0</v>
      </c>
    </row>
    <row r="14" spans="1:5" x14ac:dyDescent="0.25">
      <c r="A14" s="151"/>
      <c r="B14" s="85" t="s">
        <v>11</v>
      </c>
      <c r="C14" s="86">
        <f>SUM(C9:C13)</f>
        <v>124015532</v>
      </c>
      <c r="D14" s="86">
        <f>SUM(D9:D13)</f>
        <v>123941676</v>
      </c>
      <c r="E14" s="86">
        <f t="shared" si="0"/>
        <v>73856</v>
      </c>
    </row>
    <row r="15" spans="1:5" x14ac:dyDescent="0.25">
      <c r="A15" s="151">
        <v>2001</v>
      </c>
      <c r="B15" s="3" t="s">
        <v>3</v>
      </c>
      <c r="C15" s="50">
        <v>72182311</v>
      </c>
      <c r="D15" s="50">
        <v>72182312</v>
      </c>
      <c r="E15" s="50">
        <f t="shared" si="0"/>
        <v>-1</v>
      </c>
    </row>
    <row r="16" spans="1:5" ht="30" x14ac:dyDescent="0.25">
      <c r="A16" s="151"/>
      <c r="B16" s="3" t="s">
        <v>6</v>
      </c>
      <c r="C16" s="50">
        <v>28564137</v>
      </c>
      <c r="D16" s="50">
        <v>28564138</v>
      </c>
      <c r="E16" s="50">
        <f t="shared" si="0"/>
        <v>-1</v>
      </c>
    </row>
    <row r="17" spans="1:5" ht="45" x14ac:dyDescent="0.25">
      <c r="A17" s="151"/>
      <c r="B17" s="3" t="s">
        <v>18</v>
      </c>
      <c r="C17" s="50">
        <v>3412263</v>
      </c>
      <c r="D17" s="50">
        <v>3411947</v>
      </c>
      <c r="E17" s="50">
        <f t="shared" si="0"/>
        <v>316</v>
      </c>
    </row>
    <row r="18" spans="1:5" x14ac:dyDescent="0.25">
      <c r="A18" s="151"/>
      <c r="B18" s="3" t="s">
        <v>8</v>
      </c>
      <c r="C18" s="50">
        <v>2542108</v>
      </c>
      <c r="D18" s="50">
        <v>2542109</v>
      </c>
      <c r="E18" s="50">
        <f t="shared" si="0"/>
        <v>-1</v>
      </c>
    </row>
    <row r="19" spans="1:5" ht="30" x14ac:dyDescent="0.25">
      <c r="A19" s="151"/>
      <c r="B19" s="3" t="s">
        <v>12</v>
      </c>
      <c r="C19" s="50">
        <v>2192323</v>
      </c>
      <c r="D19" s="50">
        <v>2184193</v>
      </c>
      <c r="E19" s="50">
        <f t="shared" si="0"/>
        <v>8130</v>
      </c>
    </row>
    <row r="20" spans="1:5" x14ac:dyDescent="0.25">
      <c r="A20" s="151"/>
      <c r="B20" s="85" t="s">
        <v>11</v>
      </c>
      <c r="C20" s="86">
        <f>SUM(C15:C19)</f>
        <v>108893142</v>
      </c>
      <c r="D20" s="86">
        <f>SUM(D15:D19)</f>
        <v>108884699</v>
      </c>
      <c r="E20" s="86">
        <f t="shared" si="0"/>
        <v>8443</v>
      </c>
    </row>
    <row r="21" spans="1:5" x14ac:dyDescent="0.25">
      <c r="A21" s="151">
        <v>2002</v>
      </c>
      <c r="B21" s="3" t="s">
        <v>3</v>
      </c>
      <c r="C21" s="50">
        <v>52854849</v>
      </c>
      <c r="D21" s="50">
        <v>53259399</v>
      </c>
      <c r="E21" s="50">
        <f t="shared" si="0"/>
        <v>-404550</v>
      </c>
    </row>
    <row r="22" spans="1:5" ht="30" x14ac:dyDescent="0.25">
      <c r="A22" s="151"/>
      <c r="B22" s="3" t="s">
        <v>6</v>
      </c>
      <c r="C22" s="50">
        <v>19260559</v>
      </c>
      <c r="D22" s="50">
        <v>19342078</v>
      </c>
      <c r="E22" s="50">
        <f t="shared" si="0"/>
        <v>-81519</v>
      </c>
    </row>
    <row r="23" spans="1:5" ht="45" x14ac:dyDescent="0.25">
      <c r="A23" s="151"/>
      <c r="B23" s="3" t="s">
        <v>18</v>
      </c>
      <c r="C23" s="50">
        <v>2854873</v>
      </c>
      <c r="D23" s="50">
        <v>2756318</v>
      </c>
      <c r="E23" s="50">
        <f t="shared" si="0"/>
        <v>98555</v>
      </c>
    </row>
    <row r="24" spans="1:5" x14ac:dyDescent="0.25">
      <c r="A24" s="151"/>
      <c r="B24" s="3" t="s">
        <v>8</v>
      </c>
      <c r="C24" s="50">
        <v>8887382</v>
      </c>
      <c r="D24" s="50">
        <v>9069793</v>
      </c>
      <c r="E24" s="50">
        <f t="shared" si="0"/>
        <v>-182411</v>
      </c>
    </row>
    <row r="25" spans="1:5" ht="30" x14ac:dyDescent="0.25">
      <c r="A25" s="151"/>
      <c r="B25" s="3" t="s">
        <v>12</v>
      </c>
      <c r="C25" s="50">
        <v>4717672</v>
      </c>
      <c r="D25" s="50">
        <v>4741827</v>
      </c>
      <c r="E25" s="50">
        <f t="shared" si="0"/>
        <v>-24155</v>
      </c>
    </row>
    <row r="26" spans="1:5" x14ac:dyDescent="0.25">
      <c r="A26" s="151"/>
      <c r="B26" s="85" t="s">
        <v>11</v>
      </c>
      <c r="C26" s="86">
        <f>SUM(C21:C25)</f>
        <v>88575335</v>
      </c>
      <c r="D26" s="86">
        <f>SUM(D21:D25)</f>
        <v>89169415</v>
      </c>
      <c r="E26" s="86">
        <f t="shared" si="0"/>
        <v>-594080</v>
      </c>
    </row>
    <row r="27" spans="1:5" x14ac:dyDescent="0.25">
      <c r="A27" s="151">
        <v>2003</v>
      </c>
      <c r="B27" s="3" t="s">
        <v>3</v>
      </c>
      <c r="C27" s="50">
        <v>44558340</v>
      </c>
      <c r="D27" s="50">
        <v>44558344</v>
      </c>
      <c r="E27" s="50">
        <f t="shared" si="0"/>
        <v>-4</v>
      </c>
    </row>
    <row r="28" spans="1:5" ht="30" x14ac:dyDescent="0.25">
      <c r="A28" s="151"/>
      <c r="B28" s="3" t="s">
        <v>6</v>
      </c>
      <c r="C28" s="50">
        <v>13970481</v>
      </c>
      <c r="D28" s="50">
        <v>13970480</v>
      </c>
      <c r="E28" s="50">
        <f t="shared" si="0"/>
        <v>1</v>
      </c>
    </row>
    <row r="29" spans="1:5" ht="45" x14ac:dyDescent="0.25">
      <c r="A29" s="151"/>
      <c r="B29" s="3" t="s">
        <v>18</v>
      </c>
      <c r="C29" s="50">
        <v>3188824</v>
      </c>
      <c r="D29" s="50">
        <v>3188826</v>
      </c>
      <c r="E29" s="50">
        <f t="shared" si="0"/>
        <v>-2</v>
      </c>
    </row>
    <row r="30" spans="1:5" x14ac:dyDescent="0.25">
      <c r="A30" s="151"/>
      <c r="B30" s="3" t="s">
        <v>8</v>
      </c>
      <c r="C30" s="50">
        <v>8429197</v>
      </c>
      <c r="D30" s="50">
        <v>8429197</v>
      </c>
      <c r="E30" s="50">
        <v>0</v>
      </c>
    </row>
    <row r="31" spans="1:5" ht="30" x14ac:dyDescent="0.25">
      <c r="A31" s="151"/>
      <c r="B31" s="3" t="s">
        <v>12</v>
      </c>
      <c r="C31" s="50">
        <v>3922510</v>
      </c>
      <c r="D31" s="50">
        <v>3921645</v>
      </c>
      <c r="E31" s="50">
        <f t="shared" ref="E31:E56" si="1">C31-D31</f>
        <v>865</v>
      </c>
    </row>
    <row r="32" spans="1:5" x14ac:dyDescent="0.25">
      <c r="A32" s="151"/>
      <c r="B32" s="85" t="s">
        <v>11</v>
      </c>
      <c r="C32" s="86">
        <f>SUM(C27:C31)</f>
        <v>74069352</v>
      </c>
      <c r="D32" s="86">
        <f>SUM(D27:D31)</f>
        <v>74068492</v>
      </c>
      <c r="E32" s="86">
        <f t="shared" si="1"/>
        <v>860</v>
      </c>
    </row>
    <row r="33" spans="1:5" x14ac:dyDescent="0.25">
      <c r="A33" s="151">
        <v>2004</v>
      </c>
      <c r="B33" s="3" t="s">
        <v>3</v>
      </c>
      <c r="C33" s="50">
        <v>33766591</v>
      </c>
      <c r="D33" s="50">
        <v>27623850</v>
      </c>
      <c r="E33" s="50">
        <f t="shared" si="1"/>
        <v>6142741</v>
      </c>
    </row>
    <row r="34" spans="1:5" ht="30" x14ac:dyDescent="0.25">
      <c r="A34" s="151"/>
      <c r="B34" s="3" t="s">
        <v>6</v>
      </c>
      <c r="C34" s="50">
        <v>10804316</v>
      </c>
      <c r="D34" s="50">
        <v>1654363</v>
      </c>
      <c r="E34" s="50">
        <f t="shared" si="1"/>
        <v>9149953</v>
      </c>
    </row>
    <row r="35" spans="1:5" ht="45" x14ac:dyDescent="0.25">
      <c r="A35" s="151"/>
      <c r="B35" s="3" t="s">
        <v>18</v>
      </c>
      <c r="C35" s="50">
        <v>878341</v>
      </c>
      <c r="D35" s="50">
        <v>15430454</v>
      </c>
      <c r="E35" s="50">
        <f t="shared" si="1"/>
        <v>-14552113</v>
      </c>
    </row>
    <row r="36" spans="1:5" x14ac:dyDescent="0.25">
      <c r="A36" s="151"/>
      <c r="B36" s="3" t="s">
        <v>8</v>
      </c>
      <c r="C36" s="50">
        <v>10795265</v>
      </c>
      <c r="D36" s="50">
        <v>10808798</v>
      </c>
      <c r="E36" s="50">
        <f t="shared" si="1"/>
        <v>-13533</v>
      </c>
    </row>
    <row r="37" spans="1:5" ht="30" x14ac:dyDescent="0.25">
      <c r="A37" s="151"/>
      <c r="B37" s="3" t="s">
        <v>12</v>
      </c>
      <c r="C37" s="50">
        <v>4149598</v>
      </c>
      <c r="D37" s="50">
        <v>4149596</v>
      </c>
      <c r="E37" s="50">
        <f t="shared" si="1"/>
        <v>2</v>
      </c>
    </row>
    <row r="38" spans="1:5" x14ac:dyDescent="0.25">
      <c r="A38" s="151"/>
      <c r="B38" s="85" t="s">
        <v>11</v>
      </c>
      <c r="C38" s="86">
        <f>SUM(C33:C37)</f>
        <v>60394111</v>
      </c>
      <c r="D38" s="86">
        <f>SUM(D33:D37)</f>
        <v>59667061</v>
      </c>
      <c r="E38" s="86">
        <f t="shared" si="1"/>
        <v>727050</v>
      </c>
    </row>
    <row r="39" spans="1:5" x14ac:dyDescent="0.25">
      <c r="A39" s="151">
        <v>2005</v>
      </c>
      <c r="B39" s="3" t="s">
        <v>3</v>
      </c>
      <c r="C39" s="50">
        <v>27264687</v>
      </c>
      <c r="D39" s="50">
        <v>27752425</v>
      </c>
      <c r="E39" s="50">
        <f t="shared" si="1"/>
        <v>-487738</v>
      </c>
    </row>
    <row r="40" spans="1:5" ht="30" x14ac:dyDescent="0.25">
      <c r="A40" s="151"/>
      <c r="B40" s="3" t="s">
        <v>6</v>
      </c>
      <c r="C40" s="50">
        <v>8191140</v>
      </c>
      <c r="D40" s="50">
        <v>1450667</v>
      </c>
      <c r="E40" s="50">
        <f t="shared" si="1"/>
        <v>6740473</v>
      </c>
    </row>
    <row r="41" spans="1:5" ht="45" x14ac:dyDescent="0.25">
      <c r="A41" s="151"/>
      <c r="B41" s="3" t="s">
        <v>18</v>
      </c>
      <c r="C41" s="50">
        <v>665840</v>
      </c>
      <c r="D41" s="50">
        <v>6918644</v>
      </c>
      <c r="E41" s="50">
        <f t="shared" si="1"/>
        <v>-6252804</v>
      </c>
    </row>
    <row r="42" spans="1:5" x14ac:dyDescent="0.25">
      <c r="A42" s="151"/>
      <c r="B42" s="3" t="s">
        <v>8</v>
      </c>
      <c r="C42" s="50">
        <v>9693932</v>
      </c>
      <c r="D42" s="50">
        <v>9693928</v>
      </c>
      <c r="E42" s="50">
        <f t="shared" si="1"/>
        <v>4</v>
      </c>
    </row>
    <row r="43" spans="1:5" ht="30" x14ac:dyDescent="0.25">
      <c r="A43" s="151"/>
      <c r="B43" s="3" t="s">
        <v>12</v>
      </c>
      <c r="C43" s="50">
        <v>4119395</v>
      </c>
      <c r="D43" s="50">
        <v>4119396</v>
      </c>
      <c r="E43" s="50">
        <f t="shared" si="1"/>
        <v>-1</v>
      </c>
    </row>
    <row r="44" spans="1:5" x14ac:dyDescent="0.25">
      <c r="A44" s="151"/>
      <c r="B44" s="85" t="s">
        <v>11</v>
      </c>
      <c r="C44" s="86">
        <f>SUM(C39:C43)</f>
        <v>49934994</v>
      </c>
      <c r="D44" s="86">
        <f>SUM(D39:D43)</f>
        <v>49935060</v>
      </c>
      <c r="E44" s="86">
        <f t="shared" si="1"/>
        <v>-66</v>
      </c>
    </row>
    <row r="45" spans="1:5" x14ac:dyDescent="0.25">
      <c r="A45" s="151">
        <v>2006</v>
      </c>
      <c r="B45" s="3" t="s">
        <v>3</v>
      </c>
      <c r="C45" s="50">
        <v>24559546</v>
      </c>
      <c r="D45" s="50">
        <v>24603112</v>
      </c>
      <c r="E45" s="50">
        <f t="shared" si="1"/>
        <v>-43566</v>
      </c>
    </row>
    <row r="46" spans="1:5" ht="30" x14ac:dyDescent="0.25">
      <c r="A46" s="151"/>
      <c r="B46" s="3" t="s">
        <v>6</v>
      </c>
      <c r="C46" s="50">
        <v>5838110</v>
      </c>
      <c r="D46" s="50">
        <v>1401736</v>
      </c>
      <c r="E46" s="50">
        <f t="shared" si="1"/>
        <v>4436374</v>
      </c>
    </row>
    <row r="47" spans="1:5" ht="45" x14ac:dyDescent="0.25">
      <c r="A47" s="151"/>
      <c r="B47" s="3" t="s">
        <v>18</v>
      </c>
      <c r="C47" s="50">
        <v>918718</v>
      </c>
      <c r="D47" s="50">
        <v>5283451</v>
      </c>
      <c r="E47" s="50">
        <f t="shared" si="1"/>
        <v>-4364733</v>
      </c>
    </row>
    <row r="48" spans="1:5" x14ac:dyDescent="0.25">
      <c r="A48" s="151"/>
      <c r="B48" s="3" t="s">
        <v>8</v>
      </c>
      <c r="C48" s="50">
        <v>8187252</v>
      </c>
      <c r="D48" s="50">
        <v>8174213</v>
      </c>
      <c r="E48" s="50">
        <f t="shared" si="1"/>
        <v>13039</v>
      </c>
    </row>
    <row r="49" spans="1:5" ht="30" x14ac:dyDescent="0.25">
      <c r="A49" s="151"/>
      <c r="B49" s="3" t="s">
        <v>12</v>
      </c>
      <c r="C49" s="50">
        <v>3193518</v>
      </c>
      <c r="D49" s="50">
        <v>3193520</v>
      </c>
      <c r="E49" s="50">
        <f t="shared" si="1"/>
        <v>-2</v>
      </c>
    </row>
    <row r="50" spans="1:5" x14ac:dyDescent="0.25">
      <c r="A50" s="151"/>
      <c r="B50" s="85" t="s">
        <v>11</v>
      </c>
      <c r="C50" s="86">
        <f>SUM(C45:C49)</f>
        <v>42697144</v>
      </c>
      <c r="D50" s="86">
        <f>SUM(D45:D49)</f>
        <v>42656032</v>
      </c>
      <c r="E50" s="86">
        <f t="shared" si="1"/>
        <v>41112</v>
      </c>
    </row>
    <row r="51" spans="1:5" x14ac:dyDescent="0.25">
      <c r="A51" s="151">
        <v>2007</v>
      </c>
      <c r="B51" s="3" t="s">
        <v>3</v>
      </c>
      <c r="C51" s="50">
        <v>18669368</v>
      </c>
      <c r="D51" s="50">
        <v>19108859</v>
      </c>
      <c r="E51" s="50">
        <f t="shared" si="1"/>
        <v>-439491</v>
      </c>
    </row>
    <row r="52" spans="1:5" ht="30" x14ac:dyDescent="0.25">
      <c r="A52" s="151"/>
      <c r="B52" s="3" t="s">
        <v>6</v>
      </c>
      <c r="C52" s="50">
        <v>4563322</v>
      </c>
      <c r="D52" s="50">
        <v>1216886</v>
      </c>
      <c r="E52" s="50">
        <f t="shared" si="1"/>
        <v>3346436</v>
      </c>
    </row>
    <row r="53" spans="1:5" ht="45" x14ac:dyDescent="0.25">
      <c r="A53" s="151"/>
      <c r="B53" s="3" t="s">
        <v>18</v>
      </c>
      <c r="C53" s="50">
        <v>848541</v>
      </c>
      <c r="D53" s="50">
        <v>4084284</v>
      </c>
      <c r="E53" s="50">
        <f t="shared" si="1"/>
        <v>-3235743</v>
      </c>
    </row>
    <row r="54" spans="1:5" x14ac:dyDescent="0.25">
      <c r="A54" s="151"/>
      <c r="B54" s="3" t="s">
        <v>8</v>
      </c>
      <c r="C54" s="50">
        <v>7561804</v>
      </c>
      <c r="D54" s="50">
        <v>7347564</v>
      </c>
      <c r="E54" s="50">
        <f t="shared" si="1"/>
        <v>214240</v>
      </c>
    </row>
    <row r="55" spans="1:5" ht="30" x14ac:dyDescent="0.25">
      <c r="A55" s="151"/>
      <c r="B55" s="3" t="s">
        <v>12</v>
      </c>
      <c r="C55" s="50">
        <v>2952884</v>
      </c>
      <c r="D55" s="50">
        <v>2952884</v>
      </c>
      <c r="E55" s="50">
        <f t="shared" si="1"/>
        <v>0</v>
      </c>
    </row>
    <row r="56" spans="1:5" x14ac:dyDescent="0.25">
      <c r="A56" s="151"/>
      <c r="B56" s="85" t="s">
        <v>11</v>
      </c>
      <c r="C56" s="86">
        <f>SUM(C51:C55)</f>
        <v>34595919</v>
      </c>
      <c r="D56" s="86">
        <f>SUM(D51:D55)</f>
        <v>34710477</v>
      </c>
      <c r="E56" s="86">
        <f t="shared" si="1"/>
        <v>-114558</v>
      </c>
    </row>
    <row r="57" spans="1:5" x14ac:dyDescent="0.25">
      <c r="A57" s="151" t="s">
        <v>115</v>
      </c>
      <c r="B57" s="151"/>
      <c r="C57" s="151"/>
      <c r="D57" s="151"/>
      <c r="E57" s="86">
        <f>E8+E14+E20+E26+E32+E38+E44+E50+E56</f>
        <v>143713</v>
      </c>
    </row>
  </sheetData>
  <mergeCells count="14">
    <mergeCell ref="A51:A56"/>
    <mergeCell ref="A57:D57"/>
    <mergeCell ref="A15:A20"/>
    <mergeCell ref="A21:A26"/>
    <mergeCell ref="A27:A32"/>
    <mergeCell ref="A33:A38"/>
    <mergeCell ref="A39:A44"/>
    <mergeCell ref="A45:A50"/>
    <mergeCell ref="A9:A14"/>
    <mergeCell ref="A1:A2"/>
    <mergeCell ref="B1:B2"/>
    <mergeCell ref="C1:D1"/>
    <mergeCell ref="E1:E2"/>
    <mergeCell ref="A3: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9" sqref="C9"/>
    </sheetView>
  </sheetViews>
  <sheetFormatPr baseColWidth="10" defaultRowHeight="15" x14ac:dyDescent="0.25"/>
  <sheetData>
    <row r="1" spans="1:5" x14ac:dyDescent="0.25">
      <c r="A1" s="114" t="s">
        <v>14</v>
      </c>
      <c r="B1" s="115" t="s">
        <v>15</v>
      </c>
      <c r="C1" s="115"/>
      <c r="D1" s="115"/>
      <c r="E1" s="115"/>
    </row>
    <row r="2" spans="1:5" x14ac:dyDescent="0.25">
      <c r="A2" s="114"/>
      <c r="B2" s="5" t="s">
        <v>4</v>
      </c>
      <c r="C2" s="5" t="s">
        <v>13</v>
      </c>
      <c r="D2" s="5" t="s">
        <v>16</v>
      </c>
      <c r="E2" s="5" t="s">
        <v>17</v>
      </c>
    </row>
    <row r="3" spans="1:5" x14ac:dyDescent="0.25">
      <c r="A3" s="5" t="s">
        <v>3</v>
      </c>
      <c r="B3" s="116">
        <v>50</v>
      </c>
      <c r="C3" s="116">
        <v>19</v>
      </c>
      <c r="D3" s="116">
        <v>12</v>
      </c>
      <c r="E3" s="116">
        <v>19</v>
      </c>
    </row>
    <row r="4" spans="1:5" x14ac:dyDescent="0.25">
      <c r="A4" s="5" t="s">
        <v>6</v>
      </c>
      <c r="B4" s="116"/>
      <c r="C4" s="116"/>
      <c r="D4" s="116"/>
      <c r="E4" s="116"/>
    </row>
    <row r="5" spans="1:5" x14ac:dyDescent="0.25">
      <c r="A5" s="5" t="s">
        <v>18</v>
      </c>
      <c r="B5" s="116"/>
      <c r="C5" s="116"/>
      <c r="D5" s="116"/>
      <c r="E5" s="116"/>
    </row>
  </sheetData>
  <mergeCells count="6">
    <mergeCell ref="A1:A2"/>
    <mergeCell ref="B1:E1"/>
    <mergeCell ref="B3:B5"/>
    <mergeCell ref="C3:C5"/>
    <mergeCell ref="D3:D5"/>
    <mergeCell ref="E3:E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4" sqref="D14"/>
    </sheetView>
  </sheetViews>
  <sheetFormatPr baseColWidth="10" defaultRowHeight="15" x14ac:dyDescent="0.25"/>
  <cols>
    <col min="1" max="1" width="15.28515625" bestFit="1" customWidth="1"/>
  </cols>
  <sheetData>
    <row r="1" spans="1:2" x14ac:dyDescent="0.25">
      <c r="A1" s="42" t="s">
        <v>0</v>
      </c>
      <c r="B1" s="42" t="s">
        <v>116</v>
      </c>
    </row>
    <row r="2" spans="1:2" x14ac:dyDescent="0.25">
      <c r="A2" s="43" t="s">
        <v>3</v>
      </c>
      <c r="B2" s="43">
        <v>4132957</v>
      </c>
    </row>
    <row r="3" spans="1:2" x14ac:dyDescent="0.25">
      <c r="A3" s="43" t="s">
        <v>6</v>
      </c>
      <c r="B3" s="43">
        <v>24243947</v>
      </c>
    </row>
    <row r="4" spans="1:2" x14ac:dyDescent="0.25">
      <c r="A4" s="43" t="s">
        <v>18</v>
      </c>
      <c r="B4" s="43">
        <v>-28306520</v>
      </c>
    </row>
    <row r="5" spans="1:2" x14ac:dyDescent="0.25">
      <c r="A5" s="43" t="s">
        <v>8</v>
      </c>
      <c r="B5" s="43">
        <v>88490</v>
      </c>
    </row>
    <row r="6" spans="1:2" x14ac:dyDescent="0.25">
      <c r="A6" s="43" t="s">
        <v>12</v>
      </c>
      <c r="B6" s="43">
        <v>-15161</v>
      </c>
    </row>
    <row r="7" spans="1:2" x14ac:dyDescent="0.25">
      <c r="A7" s="42" t="s">
        <v>11</v>
      </c>
      <c r="B7" s="42">
        <v>143713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G59" sqref="G59"/>
    </sheetView>
  </sheetViews>
  <sheetFormatPr baseColWidth="10" defaultRowHeight="15" x14ac:dyDescent="0.25"/>
  <cols>
    <col min="1" max="1" width="4.7109375" bestFit="1" customWidth="1"/>
    <col min="3" max="3" width="10.28515625" customWidth="1"/>
    <col min="4" max="4" width="10.28515625" bestFit="1" customWidth="1"/>
    <col min="5" max="7" width="8.42578125" bestFit="1" customWidth="1"/>
    <col min="8" max="8" width="11.140625" bestFit="1" customWidth="1"/>
    <col min="9" max="9" width="9" bestFit="1" customWidth="1"/>
  </cols>
  <sheetData>
    <row r="1" spans="1:9" x14ac:dyDescent="0.25">
      <c r="A1" s="154" t="s">
        <v>29</v>
      </c>
      <c r="B1" s="150" t="s">
        <v>0</v>
      </c>
      <c r="C1" s="150" t="s">
        <v>117</v>
      </c>
      <c r="D1" s="150" t="s">
        <v>118</v>
      </c>
      <c r="E1" s="150"/>
      <c r="F1" s="150"/>
      <c r="G1" s="150"/>
      <c r="H1" s="150"/>
      <c r="I1" s="150"/>
    </row>
    <row r="2" spans="1:9" ht="25.5" x14ac:dyDescent="0.25">
      <c r="A2" s="154"/>
      <c r="B2" s="150"/>
      <c r="C2" s="150"/>
      <c r="D2" s="78" t="s">
        <v>119</v>
      </c>
      <c r="E2" s="78" t="s">
        <v>13</v>
      </c>
      <c r="F2" s="78" t="s">
        <v>17</v>
      </c>
      <c r="G2" s="78" t="s">
        <v>16</v>
      </c>
      <c r="H2" s="78" t="s">
        <v>120</v>
      </c>
      <c r="I2" s="78" t="s">
        <v>27</v>
      </c>
    </row>
    <row r="3" spans="1:9" x14ac:dyDescent="0.25">
      <c r="A3" s="154">
        <v>1999</v>
      </c>
      <c r="B3" s="77" t="s">
        <v>3</v>
      </c>
      <c r="C3" s="77">
        <v>1098</v>
      </c>
      <c r="D3" s="77">
        <f>C3*50%</f>
        <v>549</v>
      </c>
      <c r="E3" s="77">
        <f>C3*19%</f>
        <v>208.62</v>
      </c>
      <c r="F3" s="77">
        <f>C3*19%</f>
        <v>208.62</v>
      </c>
      <c r="G3" s="77">
        <f>C3*12%</f>
        <v>131.76</v>
      </c>
      <c r="H3" s="77">
        <v>0</v>
      </c>
      <c r="I3" s="77">
        <v>0</v>
      </c>
    </row>
    <row r="4" spans="1:9" x14ac:dyDescent="0.25">
      <c r="A4" s="154"/>
      <c r="B4" s="77" t="s">
        <v>6</v>
      </c>
      <c r="C4" s="77">
        <v>2</v>
      </c>
      <c r="D4" s="87">
        <f t="shared" ref="D4:D5" si="0">C4*50%</f>
        <v>1</v>
      </c>
      <c r="E4" s="87">
        <f t="shared" ref="E4:E5" si="1">C4*19%</f>
        <v>0.38</v>
      </c>
      <c r="F4" s="87">
        <f t="shared" ref="F4:F5" si="2">C4*19%</f>
        <v>0.38</v>
      </c>
      <c r="G4" s="87">
        <f t="shared" ref="G4:G5" si="3">C4*12%</f>
        <v>0.24</v>
      </c>
      <c r="H4" s="77">
        <v>0</v>
      </c>
      <c r="I4" s="77">
        <v>0</v>
      </c>
    </row>
    <row r="5" spans="1:9" ht="27" x14ac:dyDescent="0.25">
      <c r="A5" s="154"/>
      <c r="B5" s="77" t="s">
        <v>18</v>
      </c>
      <c r="C5" s="77">
        <v>-4</v>
      </c>
      <c r="D5" s="87">
        <f t="shared" si="0"/>
        <v>-2</v>
      </c>
      <c r="E5" s="87">
        <f t="shared" si="1"/>
        <v>-0.76</v>
      </c>
      <c r="F5" s="87">
        <f t="shared" si="2"/>
        <v>-0.76</v>
      </c>
      <c r="G5" s="87">
        <f t="shared" si="3"/>
        <v>-0.48</v>
      </c>
      <c r="H5" s="77">
        <v>0</v>
      </c>
      <c r="I5" s="77">
        <v>0</v>
      </c>
    </row>
    <row r="6" spans="1:9" x14ac:dyDescent="0.25">
      <c r="A6" s="154"/>
      <c r="B6" s="77" t="s">
        <v>8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77">
        <v>0</v>
      </c>
      <c r="I6" s="77">
        <v>0</v>
      </c>
    </row>
    <row r="7" spans="1:9" x14ac:dyDescent="0.25">
      <c r="A7" s="154"/>
      <c r="B7" s="77" t="s">
        <v>12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</row>
    <row r="8" spans="1:9" x14ac:dyDescent="0.25">
      <c r="A8" s="154"/>
      <c r="B8" s="78" t="s">
        <v>11</v>
      </c>
      <c r="C8" s="78">
        <v>1096</v>
      </c>
      <c r="D8" s="78">
        <f>SUM(D3:D7)</f>
        <v>548</v>
      </c>
      <c r="E8" s="78">
        <f t="shared" ref="E8:G8" si="4">SUM(E3:E7)</f>
        <v>208.24</v>
      </c>
      <c r="F8" s="78">
        <f t="shared" si="4"/>
        <v>208.24</v>
      </c>
      <c r="G8" s="78">
        <f t="shared" si="4"/>
        <v>131.52000000000001</v>
      </c>
      <c r="H8" s="78">
        <v>0</v>
      </c>
      <c r="I8" s="78">
        <v>0</v>
      </c>
    </row>
    <row r="9" spans="1:9" x14ac:dyDescent="0.25">
      <c r="A9" s="154">
        <v>2000</v>
      </c>
      <c r="B9" s="77" t="s">
        <v>3</v>
      </c>
      <c r="C9" s="77">
        <v>-635532</v>
      </c>
      <c r="D9" s="77">
        <f>C9*50%</f>
        <v>-317766</v>
      </c>
      <c r="E9" s="77">
        <f>C9*19%</f>
        <v>-120751.08</v>
      </c>
      <c r="F9" s="77">
        <f>C9*19%</f>
        <v>-120751.08</v>
      </c>
      <c r="G9" s="77">
        <f>C9*12%</f>
        <v>-76263.839999999997</v>
      </c>
      <c r="H9" s="77">
        <v>0</v>
      </c>
      <c r="I9" s="77">
        <v>0</v>
      </c>
    </row>
    <row r="10" spans="1:9" x14ac:dyDescent="0.25">
      <c r="A10" s="154"/>
      <c r="B10" s="77" t="s">
        <v>6</v>
      </c>
      <c r="C10" s="77">
        <v>652228</v>
      </c>
      <c r="D10" s="77">
        <f t="shared" ref="D10:D11" si="5">C10*50%</f>
        <v>326114</v>
      </c>
      <c r="E10" s="77">
        <f t="shared" ref="E10:E11" si="6">C10*19%</f>
        <v>123923.32</v>
      </c>
      <c r="F10" s="77">
        <f t="shared" ref="F10:F11" si="7">C10*19%</f>
        <v>123923.32</v>
      </c>
      <c r="G10" s="77">
        <f t="shared" ref="G10:G11" si="8">C10*12%</f>
        <v>78267.360000000001</v>
      </c>
      <c r="H10" s="77">
        <v>0</v>
      </c>
      <c r="I10" s="77">
        <v>0</v>
      </c>
    </row>
    <row r="11" spans="1:9" ht="27" x14ac:dyDescent="0.25">
      <c r="A11" s="154"/>
      <c r="B11" s="77" t="s">
        <v>18</v>
      </c>
      <c r="C11" s="77">
        <v>8</v>
      </c>
      <c r="D11" s="87">
        <f t="shared" si="5"/>
        <v>4</v>
      </c>
      <c r="E11" s="87">
        <f t="shared" si="6"/>
        <v>1.52</v>
      </c>
      <c r="F11" s="87">
        <f t="shared" si="7"/>
        <v>1.52</v>
      </c>
      <c r="G11" s="87">
        <f t="shared" si="8"/>
        <v>0.96</v>
      </c>
      <c r="H11" s="77">
        <v>0</v>
      </c>
      <c r="I11" s="77">
        <v>0</v>
      </c>
    </row>
    <row r="12" spans="1:9" ht="27" x14ac:dyDescent="0.25">
      <c r="A12" s="154"/>
      <c r="B12" s="77" t="s">
        <v>121</v>
      </c>
      <c r="C12" s="77">
        <v>14288</v>
      </c>
      <c r="D12" s="77">
        <f>C12*50%</f>
        <v>7144</v>
      </c>
      <c r="E12" s="77">
        <f>C12*31.67%</f>
        <v>4525.0096000000003</v>
      </c>
      <c r="F12" s="77">
        <v>0</v>
      </c>
      <c r="G12" s="77">
        <v>0</v>
      </c>
      <c r="H12" s="77">
        <f>C12*8.33%</f>
        <v>1190.1904</v>
      </c>
      <c r="I12" s="77">
        <f>C12*10%</f>
        <v>1428.8000000000002</v>
      </c>
    </row>
    <row r="13" spans="1:9" ht="27" x14ac:dyDescent="0.25">
      <c r="A13" s="154"/>
      <c r="B13" s="77" t="s">
        <v>122</v>
      </c>
      <c r="C13" s="77">
        <v>42864</v>
      </c>
      <c r="D13" s="77">
        <f>C13*50%</f>
        <v>21432</v>
      </c>
      <c r="E13" s="77">
        <f>C13*31.67%</f>
        <v>13575.028800000002</v>
      </c>
      <c r="F13" s="77">
        <v>0</v>
      </c>
      <c r="G13" s="77">
        <f>C13*10%</f>
        <v>4286.4000000000005</v>
      </c>
      <c r="H13" s="77">
        <f>C13*8.33%</f>
        <v>3570.5711999999999</v>
      </c>
      <c r="I13" s="77">
        <v>0</v>
      </c>
    </row>
    <row r="14" spans="1:9" x14ac:dyDescent="0.25">
      <c r="A14" s="154"/>
      <c r="B14" s="77" t="s">
        <v>12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</row>
    <row r="15" spans="1:9" x14ac:dyDescent="0.25">
      <c r="A15" s="154"/>
      <c r="B15" s="78" t="s">
        <v>11</v>
      </c>
      <c r="C15" s="78">
        <v>73856</v>
      </c>
      <c r="D15" s="78">
        <f>SUM(D9:D14)</f>
        <v>36928</v>
      </c>
      <c r="E15" s="78">
        <f t="shared" ref="E15:G15" si="9">SUM(E9:E14)</f>
        <v>21273.798400000007</v>
      </c>
      <c r="F15" s="78">
        <f t="shared" si="9"/>
        <v>3173.7600000000052</v>
      </c>
      <c r="G15" s="78">
        <f t="shared" si="9"/>
        <v>6290.8800000000047</v>
      </c>
      <c r="H15" s="78">
        <f>SUM(H9:H14)</f>
        <v>4760.7615999999998</v>
      </c>
      <c r="I15" s="78">
        <f>SUM(I9:I14)</f>
        <v>1428.8000000000002</v>
      </c>
    </row>
    <row r="16" spans="1:9" x14ac:dyDescent="0.25">
      <c r="A16" s="154">
        <v>2001</v>
      </c>
      <c r="B16" s="77" t="s">
        <v>3</v>
      </c>
      <c r="C16" s="77">
        <v>-1</v>
      </c>
      <c r="D16" s="87">
        <f>C16*50%</f>
        <v>-0.5</v>
      </c>
      <c r="E16" s="87">
        <f>C16*19%</f>
        <v>-0.19</v>
      </c>
      <c r="F16" s="87">
        <f>C16*19%</f>
        <v>-0.19</v>
      </c>
      <c r="G16" s="87">
        <f>C16*12%</f>
        <v>-0.12</v>
      </c>
      <c r="H16" s="77">
        <v>0</v>
      </c>
      <c r="I16" s="77">
        <v>0</v>
      </c>
    </row>
    <row r="17" spans="1:9" x14ac:dyDescent="0.25">
      <c r="A17" s="154"/>
      <c r="B17" s="77" t="s">
        <v>6</v>
      </c>
      <c r="C17" s="77">
        <v>-1</v>
      </c>
      <c r="D17" s="87">
        <f t="shared" ref="D17:D18" si="10">C17*50%</f>
        <v>-0.5</v>
      </c>
      <c r="E17" s="87">
        <f t="shared" ref="E17:E18" si="11">C17*19%</f>
        <v>-0.19</v>
      </c>
      <c r="F17" s="87">
        <f t="shared" ref="F17:F18" si="12">C17*19%</f>
        <v>-0.19</v>
      </c>
      <c r="G17" s="87">
        <f t="shared" ref="G17:G18" si="13">C17*12%</f>
        <v>-0.12</v>
      </c>
      <c r="H17" s="77">
        <v>0</v>
      </c>
      <c r="I17" s="77">
        <v>0</v>
      </c>
    </row>
    <row r="18" spans="1:9" ht="27" x14ac:dyDescent="0.25">
      <c r="A18" s="154"/>
      <c r="B18" s="77" t="s">
        <v>18</v>
      </c>
      <c r="C18" s="77">
        <v>316</v>
      </c>
      <c r="D18" s="77">
        <f t="shared" si="10"/>
        <v>158</v>
      </c>
      <c r="E18" s="77">
        <f t="shared" si="11"/>
        <v>60.04</v>
      </c>
      <c r="F18" s="77">
        <f t="shared" si="12"/>
        <v>60.04</v>
      </c>
      <c r="G18" s="77">
        <f t="shared" si="13"/>
        <v>37.92</v>
      </c>
      <c r="H18" s="77">
        <v>0</v>
      </c>
      <c r="I18" s="77">
        <v>0</v>
      </c>
    </row>
    <row r="19" spans="1:9" x14ac:dyDescent="0.25">
      <c r="A19" s="154"/>
      <c r="B19" s="77" t="s">
        <v>8</v>
      </c>
      <c r="C19" s="77">
        <v>-1</v>
      </c>
      <c r="D19" s="87">
        <f>C19*50%</f>
        <v>-0.5</v>
      </c>
      <c r="E19" s="87">
        <f>C19*31.67%</f>
        <v>-0.31670000000000004</v>
      </c>
      <c r="F19" s="87">
        <v>0</v>
      </c>
      <c r="G19" s="87">
        <f>C19*10%</f>
        <v>-0.1</v>
      </c>
      <c r="H19" s="87">
        <f>C19*8.33%</f>
        <v>-8.3299999999999999E-2</v>
      </c>
      <c r="I19" s="87">
        <v>0</v>
      </c>
    </row>
    <row r="20" spans="1:9" x14ac:dyDescent="0.25">
      <c r="A20" s="154"/>
      <c r="B20" s="77" t="s">
        <v>12</v>
      </c>
      <c r="C20" s="77">
        <v>8130</v>
      </c>
      <c r="D20" s="77">
        <f>C20*50%</f>
        <v>4065</v>
      </c>
      <c r="E20" s="77">
        <f>C20*50%</f>
        <v>4065</v>
      </c>
      <c r="F20" s="77">
        <v>0</v>
      </c>
      <c r="G20" s="77">
        <v>0</v>
      </c>
      <c r="H20" s="77">
        <v>0</v>
      </c>
      <c r="I20" s="77">
        <v>0</v>
      </c>
    </row>
    <row r="21" spans="1:9" x14ac:dyDescent="0.25">
      <c r="A21" s="154"/>
      <c r="B21" s="77" t="s">
        <v>11</v>
      </c>
      <c r="C21" s="78">
        <v>8443</v>
      </c>
      <c r="D21" s="78">
        <f>SUM(D16:D20)</f>
        <v>4221.5</v>
      </c>
      <c r="E21" s="78">
        <f t="shared" ref="E21:I21" si="14">SUM(E16:E20)</f>
        <v>4124.3433000000005</v>
      </c>
      <c r="F21" s="78">
        <f t="shared" si="14"/>
        <v>59.66</v>
      </c>
      <c r="G21" s="78">
        <f t="shared" si="14"/>
        <v>37.58</v>
      </c>
      <c r="H21" s="78">
        <f t="shared" si="14"/>
        <v>-8.3299999999999999E-2</v>
      </c>
      <c r="I21" s="78">
        <f t="shared" si="14"/>
        <v>0</v>
      </c>
    </row>
    <row r="22" spans="1:9" x14ac:dyDescent="0.25">
      <c r="A22" s="154">
        <v>2002</v>
      </c>
      <c r="B22" s="77" t="s">
        <v>3</v>
      </c>
      <c r="C22" s="77">
        <v>-404550</v>
      </c>
      <c r="D22" s="77">
        <f>C22*50%</f>
        <v>-202275</v>
      </c>
      <c r="E22" s="77">
        <f>C22*19%</f>
        <v>-76864.5</v>
      </c>
      <c r="F22" s="77">
        <f>C22*19%</f>
        <v>-76864.5</v>
      </c>
      <c r="G22" s="77">
        <f>C22*12%</f>
        <v>-48546</v>
      </c>
      <c r="H22" s="77">
        <v>0</v>
      </c>
      <c r="I22" s="77">
        <v>0</v>
      </c>
    </row>
    <row r="23" spans="1:9" x14ac:dyDescent="0.25">
      <c r="A23" s="154"/>
      <c r="B23" s="77" t="s">
        <v>6</v>
      </c>
      <c r="C23" s="77">
        <v>-81519</v>
      </c>
      <c r="D23" s="77">
        <f t="shared" ref="D23:D24" si="15">C23*50%</f>
        <v>-40759.5</v>
      </c>
      <c r="E23" s="77">
        <f t="shared" ref="E23:E24" si="16">C23*19%</f>
        <v>-15488.61</v>
      </c>
      <c r="F23" s="77">
        <f t="shared" ref="F23:F24" si="17">C23*19%</f>
        <v>-15488.61</v>
      </c>
      <c r="G23" s="77">
        <f t="shared" ref="G23:G24" si="18">C23*12%</f>
        <v>-9782.2799999999988</v>
      </c>
      <c r="H23" s="77">
        <v>0</v>
      </c>
      <c r="I23" s="77">
        <v>0</v>
      </c>
    </row>
    <row r="24" spans="1:9" ht="27" x14ac:dyDescent="0.25">
      <c r="A24" s="154"/>
      <c r="B24" s="77" t="s">
        <v>18</v>
      </c>
      <c r="C24" s="77">
        <v>98555</v>
      </c>
      <c r="D24" s="77">
        <f t="shared" si="15"/>
        <v>49277.5</v>
      </c>
      <c r="E24" s="77">
        <f t="shared" si="16"/>
        <v>18725.45</v>
      </c>
      <c r="F24" s="77">
        <f t="shared" si="17"/>
        <v>18725.45</v>
      </c>
      <c r="G24" s="77">
        <f t="shared" si="18"/>
        <v>11826.6</v>
      </c>
      <c r="H24" s="77">
        <v>0</v>
      </c>
      <c r="I24" s="77">
        <v>0</v>
      </c>
    </row>
    <row r="25" spans="1:9" ht="27" x14ac:dyDescent="0.25">
      <c r="A25" s="154"/>
      <c r="B25" s="77" t="s">
        <v>123</v>
      </c>
      <c r="C25" s="77">
        <v>-152009.16666666666</v>
      </c>
      <c r="D25" s="77">
        <f>C25*50%</f>
        <v>-76004.583333333328</v>
      </c>
      <c r="E25" s="77">
        <f>C25*31.67%</f>
        <v>-48141.303083333332</v>
      </c>
      <c r="F25" s="77">
        <v>0</v>
      </c>
      <c r="G25" s="77">
        <f>C25*10%</f>
        <v>-15200.916666666666</v>
      </c>
      <c r="H25" s="77">
        <f>C25*8.33%</f>
        <v>-12662.363583333332</v>
      </c>
      <c r="I25" s="77">
        <v>0</v>
      </c>
    </row>
    <row r="26" spans="1:9" ht="27" x14ac:dyDescent="0.25">
      <c r="A26" s="154"/>
      <c r="B26" s="77" t="s">
        <v>124</v>
      </c>
      <c r="C26" s="77">
        <v>-30401.833333333332</v>
      </c>
      <c r="D26" s="77">
        <f>C26*50%</f>
        <v>-15200.916666666666</v>
      </c>
      <c r="E26" s="77">
        <f>C26*40%</f>
        <v>-12160.733333333334</v>
      </c>
      <c r="F26" s="77">
        <v>0</v>
      </c>
      <c r="G26" s="77">
        <f>C26*10%</f>
        <v>-3040.1833333333334</v>
      </c>
      <c r="H26" s="77">
        <v>0</v>
      </c>
      <c r="I26" s="77">
        <v>0</v>
      </c>
    </row>
    <row r="27" spans="1:9" x14ac:dyDescent="0.25">
      <c r="A27" s="154"/>
      <c r="B27" s="77" t="s">
        <v>12</v>
      </c>
      <c r="C27" s="77">
        <v>-24155</v>
      </c>
      <c r="D27" s="77">
        <f>C27*50%</f>
        <v>-12077.5</v>
      </c>
      <c r="E27" s="77">
        <f>C27*50%</f>
        <v>-12077.5</v>
      </c>
      <c r="F27" s="77">
        <v>0</v>
      </c>
      <c r="G27" s="77">
        <v>0</v>
      </c>
      <c r="H27" s="77">
        <v>0</v>
      </c>
      <c r="I27" s="77">
        <v>0</v>
      </c>
    </row>
    <row r="28" spans="1:9" x14ac:dyDescent="0.25">
      <c r="A28" s="154"/>
      <c r="B28" s="78" t="s">
        <v>11</v>
      </c>
      <c r="C28" s="78">
        <v>-594080</v>
      </c>
      <c r="D28" s="78">
        <f>SUM(D22:D27)</f>
        <v>-297040</v>
      </c>
      <c r="E28" s="78">
        <f t="shared" ref="E28:I28" si="19">SUM(E22:E27)</f>
        <v>-146007.19641666667</v>
      </c>
      <c r="F28" s="78">
        <f t="shared" si="19"/>
        <v>-73627.66</v>
      </c>
      <c r="G28" s="78">
        <f t="shared" si="19"/>
        <v>-64742.78</v>
      </c>
      <c r="H28" s="78">
        <f t="shared" si="19"/>
        <v>-12662.363583333332</v>
      </c>
      <c r="I28" s="78">
        <f t="shared" si="19"/>
        <v>0</v>
      </c>
    </row>
    <row r="29" spans="1:9" x14ac:dyDescent="0.25">
      <c r="A29" s="154">
        <v>2003</v>
      </c>
      <c r="B29" s="77" t="s">
        <v>3</v>
      </c>
      <c r="C29" s="77">
        <v>-4</v>
      </c>
      <c r="D29" s="87">
        <f>C29*50%</f>
        <v>-2</v>
      </c>
      <c r="E29" s="87">
        <f>C29*19%</f>
        <v>-0.76</v>
      </c>
      <c r="F29" s="87">
        <f>C29*19%</f>
        <v>-0.76</v>
      </c>
      <c r="G29" s="87">
        <f>C29*12%</f>
        <v>-0.48</v>
      </c>
      <c r="H29" s="77">
        <v>0</v>
      </c>
      <c r="I29" s="77">
        <v>0</v>
      </c>
    </row>
    <row r="30" spans="1:9" x14ac:dyDescent="0.25">
      <c r="A30" s="154"/>
      <c r="B30" s="77" t="s">
        <v>6</v>
      </c>
      <c r="C30" s="77">
        <v>1</v>
      </c>
      <c r="D30" s="87">
        <f t="shared" ref="D30:D31" si="20">C30*50%</f>
        <v>0.5</v>
      </c>
      <c r="E30" s="87">
        <f t="shared" ref="E30:E31" si="21">C30*19%</f>
        <v>0.19</v>
      </c>
      <c r="F30" s="87">
        <f t="shared" ref="F30:F31" si="22">C30*19%</f>
        <v>0.19</v>
      </c>
      <c r="G30" s="87">
        <f t="shared" ref="G30:G31" si="23">C30*12%</f>
        <v>0.12</v>
      </c>
      <c r="H30" s="77">
        <v>0</v>
      </c>
      <c r="I30" s="77">
        <v>0</v>
      </c>
    </row>
    <row r="31" spans="1:9" ht="27" x14ac:dyDescent="0.25">
      <c r="A31" s="154"/>
      <c r="B31" s="77" t="s">
        <v>18</v>
      </c>
      <c r="C31" s="77">
        <v>-2</v>
      </c>
      <c r="D31" s="77">
        <f t="shared" si="20"/>
        <v>-1</v>
      </c>
      <c r="E31" s="87">
        <f t="shared" si="21"/>
        <v>-0.38</v>
      </c>
      <c r="F31" s="87">
        <f t="shared" si="22"/>
        <v>-0.38</v>
      </c>
      <c r="G31" s="87">
        <f t="shared" si="23"/>
        <v>-0.24</v>
      </c>
      <c r="H31" s="77">
        <v>0</v>
      </c>
      <c r="I31" s="77">
        <v>0</v>
      </c>
    </row>
    <row r="32" spans="1:9" x14ac:dyDescent="0.25">
      <c r="A32" s="154"/>
      <c r="B32" s="77" t="s">
        <v>8</v>
      </c>
      <c r="C32" s="77">
        <v>0</v>
      </c>
      <c r="D32" s="77">
        <f>C32*50%</f>
        <v>0</v>
      </c>
      <c r="E32" s="77">
        <f>C32*40%</f>
        <v>0</v>
      </c>
      <c r="F32" s="77">
        <v>0</v>
      </c>
      <c r="G32" s="77">
        <f>C32*10%</f>
        <v>0</v>
      </c>
      <c r="H32" s="77">
        <v>0</v>
      </c>
      <c r="I32" s="77">
        <v>0</v>
      </c>
    </row>
    <row r="33" spans="1:9" x14ac:dyDescent="0.25">
      <c r="A33" s="154"/>
      <c r="B33" s="77" t="s">
        <v>12</v>
      </c>
      <c r="C33" s="77">
        <v>865</v>
      </c>
      <c r="D33" s="77">
        <f>C33*50%</f>
        <v>432.5</v>
      </c>
      <c r="E33" s="77">
        <f>C33*50%</f>
        <v>432.5</v>
      </c>
      <c r="F33" s="77">
        <v>0</v>
      </c>
      <c r="G33" s="77">
        <v>0</v>
      </c>
      <c r="H33" s="77">
        <v>0</v>
      </c>
      <c r="I33" s="77">
        <v>0</v>
      </c>
    </row>
    <row r="34" spans="1:9" x14ac:dyDescent="0.25">
      <c r="A34" s="154"/>
      <c r="B34" s="78" t="s">
        <v>11</v>
      </c>
      <c r="C34" s="78">
        <v>860</v>
      </c>
      <c r="D34" s="78">
        <f>SUM(D29:D33)</f>
        <v>430</v>
      </c>
      <c r="E34" s="78">
        <f t="shared" ref="E34:I34" si="24">SUM(E29:E33)</f>
        <v>431.55</v>
      </c>
      <c r="F34" s="78">
        <f t="shared" si="24"/>
        <v>-0.95000000000000007</v>
      </c>
      <c r="G34" s="78">
        <f t="shared" si="24"/>
        <v>-0.6</v>
      </c>
      <c r="H34" s="78">
        <f t="shared" si="24"/>
        <v>0</v>
      </c>
      <c r="I34" s="78">
        <f t="shared" si="24"/>
        <v>0</v>
      </c>
    </row>
    <row r="35" spans="1:9" x14ac:dyDescent="0.25">
      <c r="A35" s="154">
        <v>2004</v>
      </c>
      <c r="B35" s="77" t="s">
        <v>3</v>
      </c>
      <c r="C35" s="77">
        <v>6142741</v>
      </c>
      <c r="D35" s="77">
        <f>C35*50%</f>
        <v>3071370.5</v>
      </c>
      <c r="E35" s="77">
        <f>C35*19%</f>
        <v>1167120.79</v>
      </c>
      <c r="F35" s="77">
        <f>C35*19%</f>
        <v>1167120.79</v>
      </c>
      <c r="G35" s="77">
        <f>C35*12%</f>
        <v>737128.91999999993</v>
      </c>
      <c r="H35" s="77">
        <v>0</v>
      </c>
      <c r="I35" s="77">
        <v>0</v>
      </c>
    </row>
    <row r="36" spans="1:9" x14ac:dyDescent="0.25">
      <c r="A36" s="154"/>
      <c r="B36" s="77" t="s">
        <v>6</v>
      </c>
      <c r="C36" s="77">
        <v>9149953</v>
      </c>
      <c r="D36" s="77">
        <f t="shared" ref="D36:D37" si="25">C36*50%</f>
        <v>4574976.5</v>
      </c>
      <c r="E36" s="77">
        <f t="shared" ref="E36:E37" si="26">C36*19%</f>
        <v>1738491.07</v>
      </c>
      <c r="F36" s="77">
        <f t="shared" ref="F36:F37" si="27">C36*19%</f>
        <v>1738491.07</v>
      </c>
      <c r="G36" s="77">
        <f t="shared" ref="G36:G37" si="28">C36*12%</f>
        <v>1097994.3599999999</v>
      </c>
      <c r="H36" s="77">
        <v>0</v>
      </c>
      <c r="I36" s="77">
        <v>0</v>
      </c>
    </row>
    <row r="37" spans="1:9" ht="27" x14ac:dyDescent="0.25">
      <c r="A37" s="154"/>
      <c r="B37" s="77" t="s">
        <v>18</v>
      </c>
      <c r="C37" s="77">
        <v>-14552113</v>
      </c>
      <c r="D37" s="77">
        <f t="shared" si="25"/>
        <v>-7276056.5</v>
      </c>
      <c r="E37" s="77">
        <f t="shared" si="26"/>
        <v>-2764901.47</v>
      </c>
      <c r="F37" s="77">
        <f t="shared" si="27"/>
        <v>-2764901.47</v>
      </c>
      <c r="G37" s="77">
        <f t="shared" si="28"/>
        <v>-1746253.5599999998</v>
      </c>
      <c r="H37" s="77">
        <v>0</v>
      </c>
      <c r="I37" s="77">
        <v>0</v>
      </c>
    </row>
    <row r="38" spans="1:9" x14ac:dyDescent="0.25">
      <c r="A38" s="154"/>
      <c r="B38" s="77" t="s">
        <v>8</v>
      </c>
      <c r="C38" s="77">
        <v>-13533</v>
      </c>
      <c r="D38" s="77">
        <f>C38*50%</f>
        <v>-6766.5</v>
      </c>
      <c r="E38" s="77">
        <f>C38*40%</f>
        <v>-5413.2000000000007</v>
      </c>
      <c r="F38" s="77">
        <v>0</v>
      </c>
      <c r="G38" s="77">
        <f>C38*10%</f>
        <v>-1353.3000000000002</v>
      </c>
      <c r="H38" s="77">
        <v>0</v>
      </c>
      <c r="I38" s="77">
        <v>0</v>
      </c>
    </row>
    <row r="39" spans="1:9" x14ac:dyDescent="0.25">
      <c r="A39" s="154"/>
      <c r="B39" s="77" t="s">
        <v>12</v>
      </c>
      <c r="C39" s="77">
        <v>2</v>
      </c>
      <c r="D39" s="77">
        <f>C39*50%</f>
        <v>1</v>
      </c>
      <c r="E39" s="77">
        <f>C39*50%</f>
        <v>1</v>
      </c>
      <c r="F39" s="77">
        <v>0</v>
      </c>
      <c r="G39" s="77">
        <v>0</v>
      </c>
      <c r="H39" s="77">
        <v>0</v>
      </c>
      <c r="I39" s="77">
        <v>0</v>
      </c>
    </row>
    <row r="40" spans="1:9" x14ac:dyDescent="0.25">
      <c r="A40" s="154"/>
      <c r="B40" s="78" t="s">
        <v>11</v>
      </c>
      <c r="C40" s="78">
        <v>727050</v>
      </c>
      <c r="D40" s="78">
        <f>SUM(D35:D39)</f>
        <v>363525</v>
      </c>
      <c r="E40" s="78">
        <f t="shared" ref="E40:I40" si="29">SUM(E35:E39)</f>
        <v>135298.19000000012</v>
      </c>
      <c r="F40" s="78">
        <f t="shared" si="29"/>
        <v>140710.39000000013</v>
      </c>
      <c r="G40" s="78">
        <f t="shared" si="29"/>
        <v>87516.419999999969</v>
      </c>
      <c r="H40" s="78">
        <f t="shared" si="29"/>
        <v>0</v>
      </c>
      <c r="I40" s="78">
        <f t="shared" si="29"/>
        <v>0</v>
      </c>
    </row>
    <row r="41" spans="1:9" x14ac:dyDescent="0.25">
      <c r="A41" s="154">
        <v>2005</v>
      </c>
      <c r="B41" s="77" t="s">
        <v>3</v>
      </c>
      <c r="C41" s="77">
        <v>-487738</v>
      </c>
      <c r="D41" s="77">
        <f>C41*50%</f>
        <v>-243869</v>
      </c>
      <c r="E41" s="77">
        <f>C41*19%</f>
        <v>-92670.22</v>
      </c>
      <c r="F41" s="77">
        <f>C41*19%</f>
        <v>-92670.22</v>
      </c>
      <c r="G41" s="77">
        <f>C41*12%</f>
        <v>-58528.56</v>
      </c>
      <c r="H41" s="77">
        <v>0</v>
      </c>
      <c r="I41" s="77">
        <v>0</v>
      </c>
    </row>
    <row r="42" spans="1:9" x14ac:dyDescent="0.25">
      <c r="A42" s="154"/>
      <c r="B42" s="77" t="s">
        <v>6</v>
      </c>
      <c r="C42" s="77">
        <v>6740473</v>
      </c>
      <c r="D42" s="77">
        <f t="shared" ref="D42:D43" si="30">C42*50%</f>
        <v>3370236.5</v>
      </c>
      <c r="E42" s="77">
        <f t="shared" ref="E42:E43" si="31">C42*19%</f>
        <v>1280689.8700000001</v>
      </c>
      <c r="F42" s="77">
        <f t="shared" ref="F42:F43" si="32">C42*19%</f>
        <v>1280689.8700000001</v>
      </c>
      <c r="G42" s="77">
        <f t="shared" ref="G42:G43" si="33">C42*12%</f>
        <v>808856.76</v>
      </c>
      <c r="H42" s="77">
        <v>0</v>
      </c>
      <c r="I42" s="77">
        <v>0</v>
      </c>
    </row>
    <row r="43" spans="1:9" ht="27" x14ac:dyDescent="0.25">
      <c r="A43" s="154"/>
      <c r="B43" s="77" t="s">
        <v>18</v>
      </c>
      <c r="C43" s="77">
        <v>-6252804</v>
      </c>
      <c r="D43" s="77">
        <f t="shared" si="30"/>
        <v>-3126402</v>
      </c>
      <c r="E43" s="77">
        <f t="shared" si="31"/>
        <v>-1188032.76</v>
      </c>
      <c r="F43" s="77">
        <f t="shared" si="32"/>
        <v>-1188032.76</v>
      </c>
      <c r="G43" s="77">
        <f t="shared" si="33"/>
        <v>-750336.48</v>
      </c>
      <c r="H43" s="77">
        <v>0</v>
      </c>
      <c r="I43" s="77">
        <v>0</v>
      </c>
    </row>
    <row r="44" spans="1:9" x14ac:dyDescent="0.25">
      <c r="A44" s="154"/>
      <c r="B44" s="77" t="s">
        <v>8</v>
      </c>
      <c r="C44" s="77">
        <v>4</v>
      </c>
      <c r="D44" s="77">
        <f>C44*50%</f>
        <v>2</v>
      </c>
      <c r="E44" s="77">
        <f>C44*40%</f>
        <v>1.6</v>
      </c>
      <c r="F44" s="77">
        <v>0</v>
      </c>
      <c r="G44" s="77">
        <f>C44*10%</f>
        <v>0.4</v>
      </c>
      <c r="H44" s="77">
        <v>0</v>
      </c>
      <c r="I44" s="77">
        <v>0</v>
      </c>
    </row>
    <row r="45" spans="1:9" x14ac:dyDescent="0.25">
      <c r="A45" s="154"/>
      <c r="B45" s="77" t="s">
        <v>12</v>
      </c>
      <c r="C45" s="77">
        <v>-1</v>
      </c>
      <c r="D45" s="87">
        <f>C45*50%</f>
        <v>-0.5</v>
      </c>
      <c r="E45" s="87">
        <f>C45*50%</f>
        <v>-0.5</v>
      </c>
      <c r="F45" s="87">
        <v>0</v>
      </c>
      <c r="G45" s="87">
        <v>0</v>
      </c>
      <c r="H45" s="87">
        <v>0</v>
      </c>
      <c r="I45" s="87">
        <v>0</v>
      </c>
    </row>
    <row r="46" spans="1:9" x14ac:dyDescent="0.25">
      <c r="A46" s="154"/>
      <c r="B46" s="78" t="s">
        <v>11</v>
      </c>
      <c r="C46" s="78">
        <v>-66</v>
      </c>
      <c r="D46" s="78">
        <f>SUM(D41:D45)</f>
        <v>-33</v>
      </c>
      <c r="E46" s="78">
        <f t="shared" ref="E46:I46" si="34">SUM(E41:E45)</f>
        <v>-12.009999999869615</v>
      </c>
      <c r="F46" s="78">
        <f t="shared" si="34"/>
        <v>-13.109999999869615</v>
      </c>
      <c r="G46" s="78">
        <f t="shared" si="34"/>
        <v>-7.8800000000279393</v>
      </c>
      <c r="H46" s="78">
        <f t="shared" si="34"/>
        <v>0</v>
      </c>
      <c r="I46" s="78">
        <f t="shared" si="34"/>
        <v>0</v>
      </c>
    </row>
    <row r="47" spans="1:9" x14ac:dyDescent="0.25">
      <c r="A47" s="154">
        <v>2006</v>
      </c>
      <c r="B47" s="77" t="s">
        <v>3</v>
      </c>
      <c r="C47" s="77">
        <v>-43566</v>
      </c>
      <c r="D47" s="77">
        <f>C47*50%</f>
        <v>-21783</v>
      </c>
      <c r="E47" s="77">
        <f>C47*19%</f>
        <v>-8277.5400000000009</v>
      </c>
      <c r="F47" s="77">
        <f>C47*19%</f>
        <v>-8277.5400000000009</v>
      </c>
      <c r="G47" s="77">
        <f>C47*12%</f>
        <v>-5227.92</v>
      </c>
      <c r="H47" s="77">
        <v>0</v>
      </c>
      <c r="I47" s="77">
        <v>0</v>
      </c>
    </row>
    <row r="48" spans="1:9" x14ac:dyDescent="0.25">
      <c r="A48" s="154"/>
      <c r="B48" s="77" t="s">
        <v>6</v>
      </c>
      <c r="C48" s="77">
        <v>4436374</v>
      </c>
      <c r="D48" s="77">
        <f t="shared" ref="D48:D49" si="35">C48*50%</f>
        <v>2218187</v>
      </c>
      <c r="E48" s="77">
        <f t="shared" ref="E48:E49" si="36">C48*19%</f>
        <v>842911.06</v>
      </c>
      <c r="F48" s="77">
        <f t="shared" ref="F48:F49" si="37">C48*19%</f>
        <v>842911.06</v>
      </c>
      <c r="G48" s="77">
        <f t="shared" ref="G48:G49" si="38">C48*12%</f>
        <v>532364.88</v>
      </c>
      <c r="H48" s="77">
        <v>0</v>
      </c>
      <c r="I48" s="77">
        <v>0</v>
      </c>
    </row>
    <row r="49" spans="1:9" ht="27" x14ac:dyDescent="0.25">
      <c r="A49" s="154"/>
      <c r="B49" s="77" t="s">
        <v>18</v>
      </c>
      <c r="C49" s="77">
        <v>-4364733</v>
      </c>
      <c r="D49" s="77">
        <f t="shared" si="35"/>
        <v>-2182366.5</v>
      </c>
      <c r="E49" s="77">
        <f t="shared" si="36"/>
        <v>-829299.27</v>
      </c>
      <c r="F49" s="77">
        <f t="shared" si="37"/>
        <v>-829299.27</v>
      </c>
      <c r="G49" s="77">
        <f t="shared" si="38"/>
        <v>-523767.95999999996</v>
      </c>
      <c r="H49" s="77">
        <v>0</v>
      </c>
      <c r="I49" s="77">
        <v>0</v>
      </c>
    </row>
    <row r="50" spans="1:9" x14ac:dyDescent="0.25">
      <c r="A50" s="154"/>
      <c r="B50" s="77" t="s">
        <v>8</v>
      </c>
      <c r="C50" s="77">
        <v>13039</v>
      </c>
      <c r="D50" s="77">
        <f>C50*50%</f>
        <v>6519.5</v>
      </c>
      <c r="E50" s="77">
        <f>C50*40%</f>
        <v>5215.6000000000004</v>
      </c>
      <c r="F50" s="77">
        <v>0</v>
      </c>
      <c r="G50" s="77">
        <f>C50*10%</f>
        <v>1303.9000000000001</v>
      </c>
      <c r="H50" s="77">
        <v>0</v>
      </c>
      <c r="I50" s="77">
        <v>0</v>
      </c>
    </row>
    <row r="51" spans="1:9" x14ac:dyDescent="0.25">
      <c r="A51" s="154"/>
      <c r="B51" s="77" t="s">
        <v>12</v>
      </c>
      <c r="C51" s="77">
        <v>-2</v>
      </c>
      <c r="D51" s="77">
        <f>C51*50%</f>
        <v>-1</v>
      </c>
      <c r="E51" s="77">
        <f>C51*50%</f>
        <v>-1</v>
      </c>
      <c r="F51" s="77">
        <v>0</v>
      </c>
      <c r="G51" s="77">
        <v>0</v>
      </c>
      <c r="H51" s="77">
        <v>0</v>
      </c>
      <c r="I51" s="77">
        <v>0</v>
      </c>
    </row>
    <row r="52" spans="1:9" x14ac:dyDescent="0.25">
      <c r="A52" s="154"/>
      <c r="B52" s="78" t="s">
        <v>11</v>
      </c>
      <c r="C52" s="78">
        <v>41112</v>
      </c>
      <c r="D52" s="78">
        <f>SUM(D47:D51)</f>
        <v>20556</v>
      </c>
      <c r="E52" s="78">
        <f t="shared" ref="E52:I52" si="39">SUM(E47:E51)</f>
        <v>10548.85</v>
      </c>
      <c r="F52" s="78">
        <f t="shared" si="39"/>
        <v>5334.25</v>
      </c>
      <c r="G52" s="78">
        <f t="shared" si="39"/>
        <v>4672.8999999999996</v>
      </c>
      <c r="H52" s="78">
        <f t="shared" si="39"/>
        <v>0</v>
      </c>
      <c r="I52" s="78">
        <f t="shared" si="39"/>
        <v>0</v>
      </c>
    </row>
    <row r="53" spans="1:9" x14ac:dyDescent="0.25">
      <c r="A53" s="154">
        <v>2007</v>
      </c>
      <c r="B53" s="77" t="s">
        <v>3</v>
      </c>
      <c r="C53" s="77">
        <v>-439491</v>
      </c>
      <c r="D53" s="77">
        <f>C53*50%</f>
        <v>-219745.5</v>
      </c>
      <c r="E53" s="77">
        <f>C53*19%</f>
        <v>-83503.290000000008</v>
      </c>
      <c r="F53" s="77">
        <f>C53*19%</f>
        <v>-83503.290000000008</v>
      </c>
      <c r="G53" s="77">
        <f>C53*12%</f>
        <v>-52738.92</v>
      </c>
      <c r="H53" s="77">
        <v>0</v>
      </c>
      <c r="I53" s="77">
        <v>0</v>
      </c>
    </row>
    <row r="54" spans="1:9" x14ac:dyDescent="0.25">
      <c r="A54" s="154"/>
      <c r="B54" s="77" t="s">
        <v>6</v>
      </c>
      <c r="C54" s="77">
        <v>3346436</v>
      </c>
      <c r="D54" s="77">
        <f t="shared" ref="D54:D55" si="40">C54*50%</f>
        <v>1673218</v>
      </c>
      <c r="E54" s="77">
        <f t="shared" ref="E54:E55" si="41">C54*19%</f>
        <v>635822.84</v>
      </c>
      <c r="F54" s="77">
        <f t="shared" ref="F54:F55" si="42">C54*19%</f>
        <v>635822.84</v>
      </c>
      <c r="G54" s="77">
        <f t="shared" ref="G54:G55" si="43">C54*12%</f>
        <v>401572.32</v>
      </c>
      <c r="H54" s="77">
        <v>0</v>
      </c>
      <c r="I54" s="77">
        <v>0</v>
      </c>
    </row>
    <row r="55" spans="1:9" ht="27" x14ac:dyDescent="0.25">
      <c r="A55" s="154"/>
      <c r="B55" s="77" t="s">
        <v>18</v>
      </c>
      <c r="C55" s="77">
        <v>-3235743</v>
      </c>
      <c r="D55" s="77">
        <f t="shared" si="40"/>
        <v>-1617871.5</v>
      </c>
      <c r="E55" s="77">
        <f t="shared" si="41"/>
        <v>-614791.17000000004</v>
      </c>
      <c r="F55" s="77">
        <f t="shared" si="42"/>
        <v>-614791.17000000004</v>
      </c>
      <c r="G55" s="77">
        <f t="shared" si="43"/>
        <v>-388289.16</v>
      </c>
      <c r="H55" s="77">
        <v>0</v>
      </c>
      <c r="I55" s="77">
        <v>0</v>
      </c>
    </row>
    <row r="56" spans="1:9" x14ac:dyDescent="0.25">
      <c r="A56" s="154"/>
      <c r="B56" s="77" t="s">
        <v>8</v>
      </c>
      <c r="C56" s="77">
        <v>214240</v>
      </c>
      <c r="D56" s="77">
        <f>C56*50%</f>
        <v>107120</v>
      </c>
      <c r="E56" s="77">
        <f>C56*40%</f>
        <v>85696</v>
      </c>
      <c r="F56" s="77">
        <v>0</v>
      </c>
      <c r="G56" s="77">
        <f>C56*10%</f>
        <v>21424</v>
      </c>
      <c r="H56" s="77">
        <v>0</v>
      </c>
      <c r="I56" s="77">
        <v>0</v>
      </c>
    </row>
    <row r="57" spans="1:9" x14ac:dyDescent="0.25">
      <c r="A57" s="154"/>
      <c r="B57" s="77" t="s">
        <v>12</v>
      </c>
      <c r="C57" s="77">
        <v>0</v>
      </c>
      <c r="D57" s="77">
        <f>C57*50%</f>
        <v>0</v>
      </c>
      <c r="E57" s="77">
        <f>C57*50%</f>
        <v>0</v>
      </c>
      <c r="F57" s="77">
        <v>0</v>
      </c>
      <c r="G57" s="77">
        <v>0</v>
      </c>
      <c r="H57" s="77">
        <v>0</v>
      </c>
      <c r="I57" s="77">
        <v>0</v>
      </c>
    </row>
    <row r="58" spans="1:9" x14ac:dyDescent="0.25">
      <c r="A58" s="154"/>
      <c r="B58" s="78" t="s">
        <v>11</v>
      </c>
      <c r="C58" s="78">
        <v>-114558</v>
      </c>
      <c r="D58" s="78">
        <f>SUM(D53:D57)</f>
        <v>-57279</v>
      </c>
      <c r="E58" s="78">
        <f t="shared" ref="E58:I58" si="44">SUM(E53:E57)</f>
        <v>23224.379999999888</v>
      </c>
      <c r="F58" s="78">
        <f t="shared" si="44"/>
        <v>-62471.620000000112</v>
      </c>
      <c r="G58" s="78">
        <f t="shared" si="44"/>
        <v>-18031.759999999951</v>
      </c>
      <c r="H58" s="78">
        <f t="shared" si="44"/>
        <v>0</v>
      </c>
      <c r="I58" s="78">
        <f t="shared" si="44"/>
        <v>0</v>
      </c>
    </row>
    <row r="59" spans="1:9" ht="30.75" customHeight="1" x14ac:dyDescent="0.25">
      <c r="A59" s="155" t="s">
        <v>125</v>
      </c>
      <c r="B59" s="156"/>
      <c r="C59" s="78">
        <v>143713</v>
      </c>
      <c r="D59" s="78">
        <f>D8+D15+D21+D28+D34+D40+D46+D52+D58</f>
        <v>71856.5</v>
      </c>
      <c r="E59" s="78">
        <f t="shared" ref="E59:I59" si="45">E8+E15+E21+E28+E34+E40+E46+E52+E58</f>
        <v>49090.145283333477</v>
      </c>
      <c r="F59" s="78">
        <f t="shared" si="45"/>
        <v>13372.960000000152</v>
      </c>
      <c r="G59" s="78">
        <f t="shared" si="45"/>
        <v>15866.279999999999</v>
      </c>
      <c r="H59" s="78">
        <f t="shared" si="45"/>
        <v>-7901.6852833333323</v>
      </c>
      <c r="I59" s="78">
        <f t="shared" si="45"/>
        <v>1428.8000000000002</v>
      </c>
    </row>
  </sheetData>
  <mergeCells count="14">
    <mergeCell ref="A53:A58"/>
    <mergeCell ref="A59:B59"/>
    <mergeCell ref="A16:A21"/>
    <mergeCell ref="A22:A28"/>
    <mergeCell ref="A29:A34"/>
    <mergeCell ref="A35:A40"/>
    <mergeCell ref="A41:A46"/>
    <mergeCell ref="A47:A52"/>
    <mergeCell ref="A9:A15"/>
    <mergeCell ref="A1:A2"/>
    <mergeCell ref="B1:B2"/>
    <mergeCell ref="C1:C2"/>
    <mergeCell ref="D1:I1"/>
    <mergeCell ref="A3:A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5" sqref="C5"/>
    </sheetView>
  </sheetViews>
  <sheetFormatPr baseColWidth="10" defaultRowHeight="15" x14ac:dyDescent="0.25"/>
  <cols>
    <col min="1" max="1" width="15.42578125" customWidth="1"/>
  </cols>
  <sheetData>
    <row r="1" spans="1:2" ht="30" x14ac:dyDescent="0.25">
      <c r="A1" s="85" t="s">
        <v>126</v>
      </c>
      <c r="B1" s="85" t="s">
        <v>127</v>
      </c>
    </row>
    <row r="2" spans="1:2" x14ac:dyDescent="0.25">
      <c r="A2" s="50" t="s">
        <v>4</v>
      </c>
      <c r="B2" s="50">
        <v>71857</v>
      </c>
    </row>
    <row r="3" spans="1:2" ht="45" x14ac:dyDescent="0.25">
      <c r="A3" s="50" t="s">
        <v>128</v>
      </c>
      <c r="B3" s="50">
        <v>49090</v>
      </c>
    </row>
    <row r="4" spans="1:2" ht="30" x14ac:dyDescent="0.25">
      <c r="A4" s="50" t="s">
        <v>129</v>
      </c>
      <c r="B4" s="50">
        <v>13373</v>
      </c>
    </row>
    <row r="5" spans="1:2" ht="45" x14ac:dyDescent="0.25">
      <c r="A5" s="50" t="s">
        <v>130</v>
      </c>
      <c r="B5" s="50">
        <v>15866</v>
      </c>
    </row>
    <row r="6" spans="1:2" x14ac:dyDescent="0.25">
      <c r="A6" s="86" t="s">
        <v>11</v>
      </c>
      <c r="B6" s="86">
        <f>SUM(B2:B5)</f>
        <v>150186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C7" sqref="C7"/>
    </sheetView>
  </sheetViews>
  <sheetFormatPr baseColWidth="10" defaultRowHeight="15" x14ac:dyDescent="0.25"/>
  <sheetData>
    <row r="1" spans="1:2" x14ac:dyDescent="0.25">
      <c r="A1" s="114" t="s">
        <v>131</v>
      </c>
      <c r="B1" s="114"/>
    </row>
    <row r="2" spans="1:2" x14ac:dyDescent="0.25">
      <c r="A2" s="88" t="s">
        <v>29</v>
      </c>
      <c r="B2" s="88" t="s">
        <v>132</v>
      </c>
    </row>
    <row r="3" spans="1:2" x14ac:dyDescent="0.25">
      <c r="A3" s="89">
        <v>1997</v>
      </c>
      <c r="B3" s="90" t="s">
        <v>133</v>
      </c>
    </row>
    <row r="4" spans="1:2" x14ac:dyDescent="0.25">
      <c r="A4" s="89">
        <v>1998</v>
      </c>
      <c r="B4" s="90" t="s">
        <v>134</v>
      </c>
    </row>
    <row r="5" spans="1:2" x14ac:dyDescent="0.25">
      <c r="A5" s="89">
        <v>1999</v>
      </c>
      <c r="B5" s="90" t="s">
        <v>135</v>
      </c>
    </row>
    <row r="6" spans="1:2" x14ac:dyDescent="0.25">
      <c r="A6" s="89">
        <v>2000</v>
      </c>
      <c r="B6" s="90" t="s">
        <v>136</v>
      </c>
    </row>
    <row r="7" spans="1:2" x14ac:dyDescent="0.25">
      <c r="A7" s="89">
        <v>2001</v>
      </c>
      <c r="B7" s="90" t="s">
        <v>137</v>
      </c>
    </row>
    <row r="8" spans="1:2" x14ac:dyDescent="0.25">
      <c r="A8" s="89">
        <v>2002</v>
      </c>
      <c r="B8" s="90" t="s">
        <v>138</v>
      </c>
    </row>
    <row r="9" spans="1:2" x14ac:dyDescent="0.25">
      <c r="A9" s="89">
        <v>2003</v>
      </c>
      <c r="B9" s="90" t="s">
        <v>139</v>
      </c>
    </row>
    <row r="10" spans="1:2" x14ac:dyDescent="0.25">
      <c r="A10" s="89">
        <v>2004</v>
      </c>
      <c r="B10" s="90" t="s">
        <v>140</v>
      </c>
    </row>
    <row r="11" spans="1:2" x14ac:dyDescent="0.25">
      <c r="A11" s="89">
        <v>2005</v>
      </c>
      <c r="B11" s="90" t="s">
        <v>141</v>
      </c>
    </row>
    <row r="12" spans="1:2" x14ac:dyDescent="0.25">
      <c r="A12" s="89">
        <v>2006</v>
      </c>
      <c r="B12" s="90" t="s">
        <v>142</v>
      </c>
    </row>
    <row r="13" spans="1:2" x14ac:dyDescent="0.25">
      <c r="A13" s="89">
        <v>2007</v>
      </c>
      <c r="B13" s="90" t="s">
        <v>143</v>
      </c>
    </row>
  </sheetData>
  <mergeCells count="1">
    <mergeCell ref="A1:B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23" workbookViewId="0">
      <selection activeCell="E42" sqref="E42"/>
    </sheetView>
  </sheetViews>
  <sheetFormatPr baseColWidth="10" defaultRowHeight="15" x14ac:dyDescent="0.25"/>
  <cols>
    <col min="3" max="3" width="12.85546875" customWidth="1"/>
  </cols>
  <sheetData>
    <row r="1" spans="1:16" x14ac:dyDescent="0.25">
      <c r="A1" s="79" t="s">
        <v>0</v>
      </c>
      <c r="B1" s="79" t="s">
        <v>72</v>
      </c>
      <c r="C1" s="79" t="s">
        <v>73</v>
      </c>
      <c r="D1" s="79" t="s">
        <v>74</v>
      </c>
      <c r="E1" s="79" t="s">
        <v>75</v>
      </c>
      <c r="F1" s="79" t="s">
        <v>76</v>
      </c>
      <c r="G1" s="79" t="s">
        <v>77</v>
      </c>
      <c r="H1" s="79" t="s">
        <v>78</v>
      </c>
      <c r="I1" s="79" t="s">
        <v>79</v>
      </c>
      <c r="J1" s="79" t="s">
        <v>80</v>
      </c>
      <c r="K1" s="79" t="s">
        <v>81</v>
      </c>
      <c r="L1" s="79" t="s">
        <v>82</v>
      </c>
      <c r="M1" s="79" t="s">
        <v>83</v>
      </c>
      <c r="N1" s="79" t="s">
        <v>84</v>
      </c>
      <c r="O1" s="79" t="s">
        <v>107</v>
      </c>
      <c r="P1" s="79" t="s">
        <v>86</v>
      </c>
    </row>
    <row r="2" spans="1:16" x14ac:dyDescent="0.25">
      <c r="A2" s="160" t="s">
        <v>3</v>
      </c>
      <c r="B2" s="160" t="s">
        <v>95</v>
      </c>
      <c r="C2" s="61" t="s">
        <v>88</v>
      </c>
      <c r="D2" s="64">
        <v>16981724</v>
      </c>
      <c r="E2" s="64">
        <v>14786949</v>
      </c>
      <c r="F2" s="64">
        <v>16796239</v>
      </c>
      <c r="G2" s="64">
        <v>15897286</v>
      </c>
      <c r="H2" s="64">
        <v>17638094</v>
      </c>
      <c r="I2" s="64">
        <v>16947030</v>
      </c>
      <c r="J2" s="64">
        <v>13985795</v>
      </c>
      <c r="K2" s="64">
        <v>16276127</v>
      </c>
      <c r="L2" s="64">
        <v>15528053</v>
      </c>
      <c r="M2" s="64">
        <v>12024461</v>
      </c>
      <c r="N2" s="64">
        <v>11690082</v>
      </c>
      <c r="O2" s="64">
        <v>13346455</v>
      </c>
      <c r="P2" s="65">
        <f>SUM(D2:O2)</f>
        <v>181898295</v>
      </c>
    </row>
    <row r="3" spans="1:16" x14ac:dyDescent="0.25">
      <c r="A3" s="160"/>
      <c r="B3" s="160"/>
      <c r="C3" s="61" t="s">
        <v>89</v>
      </c>
      <c r="D3" s="64">
        <v>732815</v>
      </c>
      <c r="E3" s="64">
        <v>642475</v>
      </c>
      <c r="F3" s="64">
        <v>732928</v>
      </c>
      <c r="G3" s="64">
        <v>680661</v>
      </c>
      <c r="H3" s="64">
        <v>739703</v>
      </c>
      <c r="I3" s="64">
        <v>691499</v>
      </c>
      <c r="J3" s="64">
        <v>596177</v>
      </c>
      <c r="K3" s="64">
        <v>686129</v>
      </c>
      <c r="L3" s="64">
        <v>657437</v>
      </c>
      <c r="M3" s="64">
        <v>527606</v>
      </c>
      <c r="N3" s="64">
        <v>498656</v>
      </c>
      <c r="O3" s="64">
        <v>560846</v>
      </c>
      <c r="P3" s="65">
        <f t="shared" ref="P3:P39" si="0">SUM(D3:O3)</f>
        <v>7746932</v>
      </c>
    </row>
    <row r="4" spans="1:16" x14ac:dyDescent="0.25">
      <c r="A4" s="160"/>
      <c r="B4" s="160"/>
      <c r="C4" s="61" t="s">
        <v>144</v>
      </c>
      <c r="D4" s="64">
        <v>93591</v>
      </c>
      <c r="E4" s="64">
        <v>101416</v>
      </c>
      <c r="F4" s="64">
        <v>4376</v>
      </c>
      <c r="G4" s="64">
        <v>32345</v>
      </c>
      <c r="H4" s="64">
        <v>58085</v>
      </c>
      <c r="I4" s="64">
        <v>53320</v>
      </c>
      <c r="J4" s="64">
        <v>91514</v>
      </c>
      <c r="K4" s="64">
        <v>135568</v>
      </c>
      <c r="L4" s="64">
        <v>52199</v>
      </c>
      <c r="M4" s="64">
        <v>35291</v>
      </c>
      <c r="N4" s="64">
        <v>26579</v>
      </c>
      <c r="O4" s="64">
        <v>25103</v>
      </c>
      <c r="P4" s="65">
        <f t="shared" si="0"/>
        <v>709387</v>
      </c>
    </row>
    <row r="5" spans="1:16" x14ac:dyDescent="0.25">
      <c r="A5" s="160"/>
      <c r="B5" s="160"/>
      <c r="C5" s="61" t="s">
        <v>145</v>
      </c>
      <c r="D5" s="64">
        <v>15974064</v>
      </c>
      <c r="E5" s="64">
        <v>13883005</v>
      </c>
      <c r="F5" s="64">
        <v>15841847</v>
      </c>
      <c r="G5" s="64">
        <v>15002000</v>
      </c>
      <c r="H5" s="64">
        <v>16639139</v>
      </c>
      <c r="I5" s="64">
        <v>16027530</v>
      </c>
      <c r="J5" s="64">
        <v>13123751</v>
      </c>
      <c r="K5" s="64">
        <v>15291210</v>
      </c>
      <c r="L5" s="64">
        <v>14637288</v>
      </c>
      <c r="M5" s="64">
        <v>11315339</v>
      </c>
      <c r="N5" s="64">
        <v>11021975</v>
      </c>
      <c r="O5" s="64">
        <v>12591721</v>
      </c>
      <c r="P5" s="65">
        <f t="shared" si="0"/>
        <v>171348869</v>
      </c>
    </row>
    <row r="6" spans="1:16" x14ac:dyDescent="0.25">
      <c r="A6" s="160"/>
      <c r="B6" s="160" t="s">
        <v>94</v>
      </c>
      <c r="C6" s="61" t="s">
        <v>88</v>
      </c>
      <c r="D6" s="64">
        <v>37990023</v>
      </c>
      <c r="E6" s="64">
        <v>33913010</v>
      </c>
      <c r="F6" s="64">
        <v>35834783</v>
      </c>
      <c r="G6" s="64">
        <v>34766490</v>
      </c>
      <c r="H6" s="64">
        <v>36066396</v>
      </c>
      <c r="I6" s="64">
        <v>34873690</v>
      </c>
      <c r="J6" s="64">
        <v>33706814</v>
      </c>
      <c r="K6" s="64">
        <v>36445484</v>
      </c>
      <c r="L6" s="64">
        <v>33927274</v>
      </c>
      <c r="M6" s="64">
        <v>32725211</v>
      </c>
      <c r="N6" s="64">
        <v>33561652</v>
      </c>
      <c r="O6" s="64">
        <v>34715843</v>
      </c>
      <c r="P6" s="65">
        <f t="shared" si="0"/>
        <v>418526670</v>
      </c>
    </row>
    <row r="7" spans="1:16" x14ac:dyDescent="0.25">
      <c r="A7" s="160"/>
      <c r="B7" s="160"/>
      <c r="C7" s="61" t="s">
        <v>89</v>
      </c>
      <c r="D7" s="64">
        <v>1264710</v>
      </c>
      <c r="E7" s="64">
        <v>1138475</v>
      </c>
      <c r="F7" s="64">
        <v>1208366</v>
      </c>
      <c r="G7" s="64">
        <v>1172027</v>
      </c>
      <c r="H7" s="64">
        <v>1214917</v>
      </c>
      <c r="I7" s="64">
        <v>1171169</v>
      </c>
      <c r="J7" s="64">
        <v>1154107</v>
      </c>
      <c r="K7" s="64">
        <v>1221668</v>
      </c>
      <c r="L7" s="64">
        <v>1140279</v>
      </c>
      <c r="M7" s="64">
        <v>1081006</v>
      </c>
      <c r="N7" s="64">
        <v>1126710</v>
      </c>
      <c r="O7" s="64">
        <v>1167035</v>
      </c>
      <c r="P7" s="65">
        <f t="shared" si="0"/>
        <v>14060469</v>
      </c>
    </row>
    <row r="8" spans="1:16" x14ac:dyDescent="0.25">
      <c r="A8" s="160"/>
      <c r="B8" s="160"/>
      <c r="C8" s="61" t="s">
        <v>144</v>
      </c>
      <c r="D8" s="64">
        <v>49950</v>
      </c>
      <c r="E8" s="64">
        <v>24643</v>
      </c>
      <c r="F8" s="64">
        <v>14946</v>
      </c>
      <c r="G8" s="64">
        <v>37640</v>
      </c>
      <c r="H8" s="64">
        <v>49714</v>
      </c>
      <c r="I8" s="64">
        <v>82320</v>
      </c>
      <c r="J8" s="64">
        <v>75870</v>
      </c>
      <c r="K8" s="64">
        <v>176113</v>
      </c>
      <c r="L8" s="64">
        <v>20536</v>
      </c>
      <c r="M8" s="64">
        <v>214358</v>
      </c>
      <c r="N8" s="64">
        <v>52403</v>
      </c>
      <c r="O8" s="64">
        <v>16810</v>
      </c>
      <c r="P8" s="65">
        <f t="shared" si="0"/>
        <v>815303</v>
      </c>
    </row>
    <row r="9" spans="1:16" x14ac:dyDescent="0.25">
      <c r="A9" s="160"/>
      <c r="B9" s="160"/>
      <c r="C9" s="61" t="s">
        <v>146</v>
      </c>
      <c r="D9" s="64">
        <v>36649982</v>
      </c>
      <c r="E9" s="64">
        <v>32727495</v>
      </c>
      <c r="F9" s="64">
        <v>34586281</v>
      </c>
      <c r="G9" s="64">
        <v>33533447</v>
      </c>
      <c r="H9" s="64">
        <v>34778250</v>
      </c>
      <c r="I9" s="64">
        <v>33598217</v>
      </c>
      <c r="J9" s="64">
        <v>32455501</v>
      </c>
      <c r="K9" s="64">
        <v>35025012</v>
      </c>
      <c r="L9" s="64">
        <v>32744343</v>
      </c>
      <c r="M9" s="64">
        <v>31407431</v>
      </c>
      <c r="N9" s="64">
        <v>32360450</v>
      </c>
      <c r="O9" s="64">
        <v>33509722</v>
      </c>
      <c r="P9" s="65">
        <f t="shared" si="0"/>
        <v>403376131</v>
      </c>
    </row>
    <row r="10" spans="1:16" x14ac:dyDescent="0.25">
      <c r="A10" s="160"/>
      <c r="B10" s="160" t="s">
        <v>105</v>
      </c>
      <c r="C10" s="61" t="s">
        <v>88</v>
      </c>
      <c r="D10" s="64">
        <v>1546251</v>
      </c>
      <c r="E10" s="64">
        <v>2293289</v>
      </c>
      <c r="F10" s="64">
        <v>3875166</v>
      </c>
      <c r="G10" s="64">
        <v>3692243</v>
      </c>
      <c r="H10" s="64">
        <v>3981346</v>
      </c>
      <c r="I10" s="64">
        <v>4003193</v>
      </c>
      <c r="J10" s="64">
        <v>4086838</v>
      </c>
      <c r="K10" s="64">
        <v>4289227</v>
      </c>
      <c r="L10" s="64">
        <v>3981297</v>
      </c>
      <c r="M10" s="64">
        <v>4174681</v>
      </c>
      <c r="N10" s="64">
        <v>4146516</v>
      </c>
      <c r="O10" s="64">
        <v>4409842</v>
      </c>
      <c r="P10" s="65">
        <f t="shared" si="0"/>
        <v>44479889</v>
      </c>
    </row>
    <row r="11" spans="1:16" x14ac:dyDescent="0.25">
      <c r="A11" s="160"/>
      <c r="B11" s="160"/>
      <c r="C11" s="61" t="s">
        <v>89</v>
      </c>
      <c r="D11" s="64">
        <v>51512</v>
      </c>
      <c r="E11" s="64">
        <v>79045</v>
      </c>
      <c r="F11" s="64">
        <v>133394</v>
      </c>
      <c r="G11" s="64">
        <v>124483</v>
      </c>
      <c r="H11" s="64">
        <v>134121</v>
      </c>
      <c r="I11" s="64">
        <v>134416</v>
      </c>
      <c r="J11" s="64">
        <v>138621</v>
      </c>
      <c r="K11" s="64">
        <v>143791</v>
      </c>
      <c r="L11" s="64">
        <v>133906</v>
      </c>
      <c r="M11" s="64">
        <v>138065</v>
      </c>
      <c r="N11" s="64">
        <v>148520</v>
      </c>
      <c r="O11" s="64">
        <v>158269</v>
      </c>
      <c r="P11" s="65">
        <f t="shared" si="0"/>
        <v>1518143</v>
      </c>
    </row>
    <row r="12" spans="1:16" x14ac:dyDescent="0.25">
      <c r="A12" s="160"/>
      <c r="B12" s="160"/>
      <c r="C12" s="61" t="s">
        <v>144</v>
      </c>
      <c r="D12" s="64">
        <v>2032</v>
      </c>
      <c r="E12" s="64">
        <v>1398</v>
      </c>
      <c r="F12" s="64">
        <v>1622</v>
      </c>
      <c r="G12" s="64">
        <v>4019</v>
      </c>
      <c r="H12" s="64">
        <v>5694</v>
      </c>
      <c r="I12" s="64">
        <v>10087</v>
      </c>
      <c r="J12" s="64">
        <v>6020</v>
      </c>
      <c r="K12" s="64">
        <v>20482</v>
      </c>
      <c r="L12" s="64">
        <v>2402</v>
      </c>
      <c r="M12" s="64">
        <v>28218</v>
      </c>
      <c r="N12" s="64">
        <v>7295</v>
      </c>
      <c r="O12" s="64">
        <v>3995</v>
      </c>
      <c r="P12" s="65">
        <f t="shared" si="0"/>
        <v>93264</v>
      </c>
    </row>
    <row r="13" spans="1:16" x14ac:dyDescent="0.25">
      <c r="A13" s="160"/>
      <c r="B13" s="160"/>
      <c r="C13" s="61" t="s">
        <v>145</v>
      </c>
      <c r="D13" s="64">
        <v>1491678</v>
      </c>
      <c r="E13" s="64">
        <v>2212846</v>
      </c>
      <c r="F13" s="64">
        <v>3740149</v>
      </c>
      <c r="G13" s="64">
        <v>3561265</v>
      </c>
      <c r="H13" s="64">
        <v>3838941</v>
      </c>
      <c r="I13" s="64">
        <v>3856172</v>
      </c>
      <c r="J13" s="64">
        <v>3939620</v>
      </c>
      <c r="K13" s="64">
        <v>4122288</v>
      </c>
      <c r="L13" s="64">
        <v>3842484</v>
      </c>
      <c r="M13" s="64">
        <v>4005729</v>
      </c>
      <c r="N13" s="64">
        <v>3988842</v>
      </c>
      <c r="O13" s="64">
        <v>4245700</v>
      </c>
      <c r="P13" s="65">
        <f t="shared" si="0"/>
        <v>42845714</v>
      </c>
    </row>
    <row r="14" spans="1:16" x14ac:dyDescent="0.25">
      <c r="A14" s="161" t="s">
        <v>93</v>
      </c>
      <c r="B14" s="162"/>
      <c r="C14" s="163"/>
      <c r="D14" s="66">
        <f>(D10+D6+D2)-(D3+D4+D5+D7+D8+D9+D11+D12+D13)</f>
        <v>207664</v>
      </c>
      <c r="E14" s="66">
        <f t="shared" ref="E14:O14" si="1">(E10+E6+E2)-(E3+E4+E5+E7+E8+E9+E11+E12+E13)</f>
        <v>182450</v>
      </c>
      <c r="F14" s="66">
        <f t="shared" si="1"/>
        <v>242279</v>
      </c>
      <c r="G14" s="66">
        <f t="shared" si="1"/>
        <v>208132</v>
      </c>
      <c r="H14" s="66">
        <f t="shared" si="1"/>
        <v>227272</v>
      </c>
      <c r="I14" s="66">
        <f t="shared" si="1"/>
        <v>199183</v>
      </c>
      <c r="J14" s="66">
        <f t="shared" si="1"/>
        <v>198266</v>
      </c>
      <c r="K14" s="66">
        <f t="shared" si="1"/>
        <v>188577</v>
      </c>
      <c r="L14" s="66">
        <f t="shared" si="1"/>
        <v>205750</v>
      </c>
      <c r="M14" s="66">
        <f t="shared" si="1"/>
        <v>171310</v>
      </c>
      <c r="N14" s="66">
        <f t="shared" si="1"/>
        <v>166820</v>
      </c>
      <c r="O14" s="66">
        <f t="shared" si="1"/>
        <v>192939</v>
      </c>
      <c r="P14" s="66">
        <f t="shared" si="0"/>
        <v>2390642</v>
      </c>
    </row>
    <row r="15" spans="1:16" x14ac:dyDescent="0.25">
      <c r="A15" s="160" t="s">
        <v>6</v>
      </c>
      <c r="B15" s="160" t="s">
        <v>95</v>
      </c>
      <c r="C15" s="61" t="s">
        <v>88</v>
      </c>
      <c r="D15" s="64">
        <v>28826362</v>
      </c>
      <c r="E15" s="64">
        <v>26183117</v>
      </c>
      <c r="F15" s="64">
        <v>27695171</v>
      </c>
      <c r="G15" s="64">
        <v>28380925</v>
      </c>
      <c r="H15" s="64">
        <v>28508612</v>
      </c>
      <c r="I15" s="64">
        <v>28629273</v>
      </c>
      <c r="J15" s="64">
        <v>26897326</v>
      </c>
      <c r="K15" s="64">
        <v>31081931</v>
      </c>
      <c r="L15" s="64">
        <v>30151587</v>
      </c>
      <c r="M15" s="64">
        <v>30668241</v>
      </c>
      <c r="N15" s="64">
        <v>32974308</v>
      </c>
      <c r="O15" s="64">
        <v>33285235</v>
      </c>
      <c r="P15" s="65">
        <f t="shared" si="0"/>
        <v>353282088</v>
      </c>
    </row>
    <row r="16" spans="1:16" x14ac:dyDescent="0.25">
      <c r="A16" s="160"/>
      <c r="B16" s="160"/>
      <c r="C16" s="61" t="s">
        <v>89</v>
      </c>
      <c r="D16" s="64">
        <v>1227388</v>
      </c>
      <c r="E16" s="64">
        <v>1123126</v>
      </c>
      <c r="F16" s="64">
        <v>1191328</v>
      </c>
      <c r="G16" s="64">
        <v>1206052</v>
      </c>
      <c r="H16" s="64">
        <v>1187541</v>
      </c>
      <c r="I16" s="64">
        <v>1159724</v>
      </c>
      <c r="J16" s="64">
        <v>1174687</v>
      </c>
      <c r="K16" s="64">
        <v>1305370</v>
      </c>
      <c r="L16" s="64">
        <v>1243876</v>
      </c>
      <c r="M16" s="64">
        <v>1285746</v>
      </c>
      <c r="N16" s="64">
        <v>1371161</v>
      </c>
      <c r="O16" s="64">
        <v>1372193</v>
      </c>
      <c r="P16" s="65">
        <f t="shared" si="0"/>
        <v>14848192</v>
      </c>
    </row>
    <row r="17" spans="1:16" x14ac:dyDescent="0.25">
      <c r="A17" s="160"/>
      <c r="B17" s="160"/>
      <c r="C17" s="61" t="s">
        <v>144</v>
      </c>
      <c r="D17" s="64">
        <v>27100</v>
      </c>
      <c r="E17" s="64">
        <v>32613</v>
      </c>
      <c r="F17" s="64">
        <v>62455</v>
      </c>
      <c r="G17" s="64">
        <v>27304</v>
      </c>
      <c r="H17" s="64">
        <v>57046</v>
      </c>
      <c r="I17" s="64">
        <v>40394</v>
      </c>
      <c r="J17" s="64">
        <v>125508</v>
      </c>
      <c r="K17" s="64">
        <v>117349</v>
      </c>
      <c r="L17" s="64">
        <v>40629</v>
      </c>
      <c r="M17" s="64">
        <v>49908</v>
      </c>
      <c r="N17" s="64">
        <v>50033</v>
      </c>
      <c r="O17" s="64">
        <v>48181</v>
      </c>
      <c r="P17" s="65">
        <f t="shared" si="0"/>
        <v>678520</v>
      </c>
    </row>
    <row r="18" spans="1:16" x14ac:dyDescent="0.25">
      <c r="A18" s="160"/>
      <c r="B18" s="160"/>
      <c r="C18" s="61" t="s">
        <v>145</v>
      </c>
      <c r="D18" s="64">
        <v>27254289</v>
      </c>
      <c r="E18" s="64">
        <v>24732995</v>
      </c>
      <c r="F18" s="64">
        <v>26069383</v>
      </c>
      <c r="G18" s="64">
        <v>26807170</v>
      </c>
      <c r="H18" s="64">
        <v>26924694</v>
      </c>
      <c r="I18" s="64">
        <v>27119533</v>
      </c>
      <c r="J18" s="64">
        <v>25233688</v>
      </c>
      <c r="K18" s="64">
        <v>29320942</v>
      </c>
      <c r="L18" s="64">
        <v>28492782</v>
      </c>
      <c r="M18" s="64">
        <v>28933479</v>
      </c>
      <c r="N18" s="64">
        <v>31143090</v>
      </c>
      <c r="O18" s="64">
        <v>31437967</v>
      </c>
      <c r="P18" s="65">
        <f t="shared" si="0"/>
        <v>333470012</v>
      </c>
    </row>
    <row r="19" spans="1:16" x14ac:dyDescent="0.25">
      <c r="A19" s="157" t="s">
        <v>147</v>
      </c>
      <c r="B19" s="158"/>
      <c r="C19" s="159"/>
      <c r="D19" s="66">
        <f>D15-(D18+D17+D16)</f>
        <v>317585</v>
      </c>
      <c r="E19" s="66">
        <f t="shared" ref="E19:O19" si="2">E15-(E18+E17+E16)</f>
        <v>294383</v>
      </c>
      <c r="F19" s="66">
        <f t="shared" si="2"/>
        <v>372005</v>
      </c>
      <c r="G19" s="66">
        <f t="shared" si="2"/>
        <v>340399</v>
      </c>
      <c r="H19" s="66">
        <f t="shared" si="2"/>
        <v>339331</v>
      </c>
      <c r="I19" s="66">
        <f t="shared" si="2"/>
        <v>309622</v>
      </c>
      <c r="J19" s="66">
        <f t="shared" si="2"/>
        <v>363443</v>
      </c>
      <c r="K19" s="66">
        <f t="shared" si="2"/>
        <v>338270</v>
      </c>
      <c r="L19" s="66">
        <f t="shared" si="2"/>
        <v>374300</v>
      </c>
      <c r="M19" s="66">
        <f t="shared" si="2"/>
        <v>399108</v>
      </c>
      <c r="N19" s="66">
        <f t="shared" si="2"/>
        <v>410024</v>
      </c>
      <c r="O19" s="66">
        <f t="shared" si="2"/>
        <v>426894</v>
      </c>
      <c r="P19" s="66">
        <f t="shared" si="0"/>
        <v>4285364</v>
      </c>
    </row>
    <row r="20" spans="1:16" x14ac:dyDescent="0.25">
      <c r="A20" s="160" t="s">
        <v>18</v>
      </c>
      <c r="B20" s="160" t="s">
        <v>95</v>
      </c>
      <c r="C20" s="61" t="s">
        <v>88</v>
      </c>
      <c r="D20" s="64">
        <v>250341</v>
      </c>
      <c r="E20" s="64">
        <v>233735</v>
      </c>
      <c r="F20" s="64">
        <v>299174</v>
      </c>
      <c r="G20" s="64">
        <v>347119</v>
      </c>
      <c r="H20" s="64">
        <v>454532</v>
      </c>
      <c r="I20" s="64">
        <v>511711</v>
      </c>
      <c r="J20" s="64">
        <v>529047</v>
      </c>
      <c r="K20" s="64">
        <v>637558</v>
      </c>
      <c r="L20" s="64">
        <v>632126</v>
      </c>
      <c r="M20" s="64">
        <v>555060</v>
      </c>
      <c r="N20" s="64">
        <v>185079</v>
      </c>
      <c r="O20" s="64">
        <v>180378</v>
      </c>
      <c r="P20" s="65">
        <f t="shared" si="0"/>
        <v>4815860</v>
      </c>
    </row>
    <row r="21" spans="1:16" x14ac:dyDescent="0.25">
      <c r="A21" s="160"/>
      <c r="B21" s="160"/>
      <c r="C21" s="61" t="s">
        <v>89</v>
      </c>
      <c r="D21" s="64">
        <v>10665</v>
      </c>
      <c r="E21" s="64">
        <v>10018</v>
      </c>
      <c r="F21" s="64">
        <v>12912</v>
      </c>
      <c r="G21" s="64">
        <v>14762</v>
      </c>
      <c r="H21" s="64">
        <v>18934</v>
      </c>
      <c r="I21" s="64">
        <v>20735</v>
      </c>
      <c r="J21" s="64">
        <v>22431</v>
      </c>
      <c r="K21" s="64">
        <v>26789</v>
      </c>
      <c r="L21" s="64">
        <v>26069</v>
      </c>
      <c r="M21" s="64">
        <v>23425</v>
      </c>
      <c r="N21" s="64">
        <v>7698</v>
      </c>
      <c r="O21" s="64">
        <v>7436</v>
      </c>
      <c r="P21" s="65">
        <f t="shared" si="0"/>
        <v>201874</v>
      </c>
    </row>
    <row r="22" spans="1:16" x14ac:dyDescent="0.25">
      <c r="A22" s="160"/>
      <c r="B22" s="160"/>
      <c r="C22" s="61" t="s">
        <v>144</v>
      </c>
      <c r="D22" s="64">
        <v>127187</v>
      </c>
      <c r="E22" s="64">
        <v>146316</v>
      </c>
      <c r="F22" s="64">
        <v>164743</v>
      </c>
      <c r="G22" s="64">
        <v>198291</v>
      </c>
      <c r="H22" s="64">
        <v>37408</v>
      </c>
      <c r="I22" s="64">
        <v>44930</v>
      </c>
      <c r="J22" s="64">
        <v>50130</v>
      </c>
      <c r="K22" s="64">
        <v>62378</v>
      </c>
      <c r="L22" s="64">
        <v>43509</v>
      </c>
      <c r="M22" s="64">
        <v>35373</v>
      </c>
      <c r="N22" s="64">
        <v>20637</v>
      </c>
      <c r="O22" s="64">
        <v>15900</v>
      </c>
      <c r="P22" s="65">
        <f t="shared" si="0"/>
        <v>946802</v>
      </c>
    </row>
    <row r="23" spans="1:16" x14ac:dyDescent="0.25">
      <c r="A23" s="160"/>
      <c r="B23" s="160"/>
      <c r="C23" s="61" t="s">
        <v>145</v>
      </c>
      <c r="D23" s="64">
        <v>109740</v>
      </c>
      <c r="E23" s="64">
        <v>74738</v>
      </c>
      <c r="F23" s="64">
        <v>117486</v>
      </c>
      <c r="G23" s="64">
        <v>129894</v>
      </c>
      <c r="H23" s="64">
        <v>392766</v>
      </c>
      <c r="I23" s="64">
        <v>440524</v>
      </c>
      <c r="J23" s="64">
        <v>449557</v>
      </c>
      <c r="K23" s="64">
        <v>541435</v>
      </c>
      <c r="L23" s="64">
        <v>554700</v>
      </c>
      <c r="M23" s="64">
        <v>488738</v>
      </c>
      <c r="N23" s="64">
        <v>154445</v>
      </c>
      <c r="O23" s="64">
        <v>154725</v>
      </c>
      <c r="P23" s="65">
        <f t="shared" si="0"/>
        <v>3608748</v>
      </c>
    </row>
    <row r="24" spans="1:16" x14ac:dyDescent="0.25">
      <c r="A24" s="157" t="s">
        <v>93</v>
      </c>
      <c r="B24" s="158"/>
      <c r="C24" s="159"/>
      <c r="D24" s="66">
        <f>D20-(D23+D22+D21)</f>
        <v>2749</v>
      </c>
      <c r="E24" s="66">
        <f t="shared" ref="E24:O24" si="3">E20-(E23+E22+E21)</f>
        <v>2663</v>
      </c>
      <c r="F24" s="66">
        <f t="shared" si="3"/>
        <v>4033</v>
      </c>
      <c r="G24" s="66">
        <f t="shared" si="3"/>
        <v>4172</v>
      </c>
      <c r="H24" s="66">
        <f t="shared" si="3"/>
        <v>5424</v>
      </c>
      <c r="I24" s="66">
        <f t="shared" si="3"/>
        <v>5522</v>
      </c>
      <c r="J24" s="66">
        <f t="shared" si="3"/>
        <v>6929</v>
      </c>
      <c r="K24" s="66">
        <f t="shared" si="3"/>
        <v>6956</v>
      </c>
      <c r="L24" s="66">
        <f t="shared" si="3"/>
        <v>7848</v>
      </c>
      <c r="M24" s="66">
        <f t="shared" si="3"/>
        <v>7524</v>
      </c>
      <c r="N24" s="66">
        <f t="shared" si="3"/>
        <v>2299</v>
      </c>
      <c r="O24" s="66">
        <f t="shared" si="3"/>
        <v>2317</v>
      </c>
      <c r="P24" s="66">
        <f t="shared" si="0"/>
        <v>58436</v>
      </c>
    </row>
    <row r="25" spans="1:16" x14ac:dyDescent="0.25">
      <c r="A25" s="160" t="s">
        <v>8</v>
      </c>
      <c r="B25" s="160" t="s">
        <v>94</v>
      </c>
      <c r="C25" s="61" t="s">
        <v>88</v>
      </c>
      <c r="D25" s="64">
        <v>320664</v>
      </c>
      <c r="E25" s="64">
        <v>279539</v>
      </c>
      <c r="F25" s="64">
        <v>267392</v>
      </c>
      <c r="G25" s="64">
        <v>115379</v>
      </c>
      <c r="H25" s="64">
        <v>99156</v>
      </c>
      <c r="I25" s="64">
        <v>56068</v>
      </c>
      <c r="J25" s="64">
        <v>56595</v>
      </c>
      <c r="K25" s="64">
        <v>69702</v>
      </c>
      <c r="L25" s="64">
        <v>1228952</v>
      </c>
      <c r="M25" s="64">
        <v>2343470</v>
      </c>
      <c r="N25" s="64">
        <v>2104781</v>
      </c>
      <c r="O25" s="64">
        <v>2155674</v>
      </c>
      <c r="P25" s="65">
        <f t="shared" si="0"/>
        <v>9097372</v>
      </c>
    </row>
    <row r="26" spans="1:16" x14ac:dyDescent="0.25">
      <c r="A26" s="160"/>
      <c r="B26" s="160"/>
      <c r="C26" s="61" t="s">
        <v>89</v>
      </c>
      <c r="D26" s="64">
        <v>10895</v>
      </c>
      <c r="E26" s="64">
        <v>9575</v>
      </c>
      <c r="F26" s="64">
        <v>9208</v>
      </c>
      <c r="G26" s="64">
        <v>3968</v>
      </c>
      <c r="H26" s="64">
        <v>3405</v>
      </c>
      <c r="I26" s="64">
        <v>1918</v>
      </c>
      <c r="J26" s="64">
        <v>2094</v>
      </c>
      <c r="K26" s="64">
        <v>2379</v>
      </c>
      <c r="L26" s="64">
        <v>42086</v>
      </c>
      <c r="M26" s="64">
        <v>79161</v>
      </c>
      <c r="N26" s="64">
        <v>72055</v>
      </c>
      <c r="O26" s="64">
        <v>73852</v>
      </c>
      <c r="P26" s="65">
        <f t="shared" si="0"/>
        <v>310596</v>
      </c>
    </row>
    <row r="27" spans="1:16" x14ac:dyDescent="0.25">
      <c r="A27" s="160"/>
      <c r="B27" s="160"/>
      <c r="C27" s="61" t="s">
        <v>144</v>
      </c>
      <c r="D27" s="64">
        <v>422</v>
      </c>
      <c r="E27" s="64">
        <v>200</v>
      </c>
      <c r="F27" s="64">
        <v>111</v>
      </c>
      <c r="G27" s="64">
        <v>121</v>
      </c>
      <c r="H27" s="64">
        <v>145</v>
      </c>
      <c r="I27" s="64">
        <v>143</v>
      </c>
      <c r="J27" s="64">
        <v>322</v>
      </c>
      <c r="K27" s="64">
        <v>395</v>
      </c>
      <c r="L27" s="64">
        <v>680</v>
      </c>
      <c r="M27" s="64">
        <v>12570</v>
      </c>
      <c r="N27" s="64">
        <v>3403</v>
      </c>
      <c r="O27" s="64">
        <v>1044</v>
      </c>
      <c r="P27" s="65">
        <f t="shared" si="0"/>
        <v>19556</v>
      </c>
    </row>
    <row r="28" spans="1:16" x14ac:dyDescent="0.25">
      <c r="A28" s="160"/>
      <c r="B28" s="160"/>
      <c r="C28" s="61" t="s">
        <v>145</v>
      </c>
      <c r="D28" s="64">
        <v>309346</v>
      </c>
      <c r="E28" s="64">
        <v>269764</v>
      </c>
      <c r="F28" s="64">
        <v>258073</v>
      </c>
      <c r="G28" s="64">
        <v>111291</v>
      </c>
      <c r="H28" s="64">
        <v>95607</v>
      </c>
      <c r="I28" s="64">
        <v>54007</v>
      </c>
      <c r="J28" s="64">
        <v>54179</v>
      </c>
      <c r="K28" s="64">
        <v>66928</v>
      </c>
      <c r="L28" s="64">
        <v>1186186</v>
      </c>
      <c r="M28" s="64">
        <v>2251739</v>
      </c>
      <c r="N28" s="64">
        <v>2029323</v>
      </c>
      <c r="O28" s="64">
        <v>2080777</v>
      </c>
      <c r="P28" s="65">
        <f t="shared" si="0"/>
        <v>8767220</v>
      </c>
    </row>
    <row r="29" spans="1:16" x14ac:dyDescent="0.25">
      <c r="A29" s="157" t="s">
        <v>93</v>
      </c>
      <c r="B29" s="158"/>
      <c r="C29" s="159"/>
      <c r="D29" s="82">
        <f>D25-(D28+D27+D26)</f>
        <v>1</v>
      </c>
      <c r="E29" s="82">
        <f t="shared" ref="E29:P29" si="4">E25-(E28+E27+E26)</f>
        <v>0</v>
      </c>
      <c r="F29" s="82">
        <f t="shared" si="4"/>
        <v>0</v>
      </c>
      <c r="G29" s="82">
        <v>0</v>
      </c>
      <c r="H29" s="82">
        <v>0</v>
      </c>
      <c r="I29" s="82">
        <f t="shared" si="4"/>
        <v>0</v>
      </c>
      <c r="J29" s="82">
        <f t="shared" si="4"/>
        <v>0</v>
      </c>
      <c r="K29" s="82">
        <f t="shared" si="4"/>
        <v>0</v>
      </c>
      <c r="L29" s="82">
        <f t="shared" si="4"/>
        <v>0</v>
      </c>
      <c r="M29" s="82">
        <f t="shared" si="4"/>
        <v>0</v>
      </c>
      <c r="N29" s="82">
        <f t="shared" si="4"/>
        <v>0</v>
      </c>
      <c r="O29" s="82">
        <f t="shared" si="4"/>
        <v>1</v>
      </c>
      <c r="P29" s="82">
        <f t="shared" si="4"/>
        <v>0</v>
      </c>
    </row>
    <row r="30" spans="1:16" x14ac:dyDescent="0.25">
      <c r="A30" s="160" t="s">
        <v>12</v>
      </c>
      <c r="B30" s="160" t="s">
        <v>96</v>
      </c>
      <c r="C30" s="61" t="s">
        <v>88</v>
      </c>
      <c r="D30" s="72">
        <v>0</v>
      </c>
      <c r="E30" s="72">
        <v>0</v>
      </c>
      <c r="F30" s="64">
        <v>0</v>
      </c>
      <c r="G30" s="72">
        <v>0</v>
      </c>
      <c r="H30" s="64">
        <v>431230</v>
      </c>
      <c r="I30" s="64">
        <v>538300</v>
      </c>
      <c r="J30" s="64">
        <v>522830</v>
      </c>
      <c r="K30" s="64">
        <v>637050</v>
      </c>
      <c r="L30" s="64">
        <v>931680</v>
      </c>
      <c r="M30" s="64">
        <v>1174450</v>
      </c>
      <c r="N30" s="64">
        <v>908770</v>
      </c>
      <c r="O30" s="64">
        <v>1279490</v>
      </c>
      <c r="P30" s="65">
        <f t="shared" si="0"/>
        <v>6423800</v>
      </c>
    </row>
    <row r="31" spans="1:16" x14ac:dyDescent="0.25">
      <c r="A31" s="160"/>
      <c r="B31" s="160"/>
      <c r="C31" s="61" t="s">
        <v>89</v>
      </c>
      <c r="D31" s="64">
        <v>0</v>
      </c>
      <c r="E31" s="64">
        <v>0</v>
      </c>
      <c r="F31" s="64">
        <v>0</v>
      </c>
      <c r="G31" s="72">
        <v>0</v>
      </c>
      <c r="H31" s="64">
        <v>0</v>
      </c>
      <c r="I31" s="64">
        <v>0</v>
      </c>
      <c r="J31" s="64">
        <v>0</v>
      </c>
      <c r="K31" s="64">
        <v>22230</v>
      </c>
      <c r="L31" s="64">
        <v>35330</v>
      </c>
      <c r="M31" s="64">
        <v>60280</v>
      </c>
      <c r="N31" s="72">
        <v>52660</v>
      </c>
      <c r="O31" s="72">
        <v>60680</v>
      </c>
      <c r="P31" s="65">
        <f t="shared" si="0"/>
        <v>231180</v>
      </c>
    </row>
    <row r="32" spans="1:16" x14ac:dyDescent="0.25">
      <c r="A32" s="160"/>
      <c r="B32" s="160"/>
      <c r="C32" s="61" t="s">
        <v>144</v>
      </c>
      <c r="D32" s="64">
        <v>0</v>
      </c>
      <c r="E32" s="64">
        <v>0</v>
      </c>
      <c r="F32" s="64">
        <v>0</v>
      </c>
      <c r="G32" s="72">
        <v>0</v>
      </c>
      <c r="H32" s="64">
        <v>431230</v>
      </c>
      <c r="I32" s="64">
        <v>538300</v>
      </c>
      <c r="J32" s="64">
        <v>522830</v>
      </c>
      <c r="K32" s="64">
        <v>467060</v>
      </c>
      <c r="L32" s="64">
        <v>163080</v>
      </c>
      <c r="M32" s="64">
        <v>102470</v>
      </c>
      <c r="N32" s="72">
        <v>134790</v>
      </c>
      <c r="O32" s="72">
        <v>147180</v>
      </c>
      <c r="P32" s="65">
        <f t="shared" si="0"/>
        <v>2506940</v>
      </c>
    </row>
    <row r="33" spans="1:16" x14ac:dyDescent="0.25">
      <c r="A33" s="160"/>
      <c r="B33" s="160"/>
      <c r="C33" s="61" t="s">
        <v>145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72">
        <v>0</v>
      </c>
      <c r="K33" s="64">
        <v>147760</v>
      </c>
      <c r="L33" s="64">
        <v>739810</v>
      </c>
      <c r="M33" s="64">
        <v>1147820</v>
      </c>
      <c r="N33" s="64">
        <v>1023870</v>
      </c>
      <c r="O33" s="64">
        <v>1208260</v>
      </c>
      <c r="P33" s="65">
        <f t="shared" si="0"/>
        <v>4267520</v>
      </c>
    </row>
    <row r="34" spans="1:16" x14ac:dyDescent="0.25">
      <c r="A34" s="160"/>
      <c r="B34" s="160" t="s">
        <v>97</v>
      </c>
      <c r="C34" s="61" t="s">
        <v>88</v>
      </c>
      <c r="D34" s="64">
        <v>0</v>
      </c>
      <c r="E34" s="72">
        <v>0</v>
      </c>
      <c r="F34" s="64">
        <v>0</v>
      </c>
      <c r="G34" s="72">
        <v>0</v>
      </c>
      <c r="H34" s="72">
        <v>0</v>
      </c>
      <c r="I34" s="64">
        <v>0</v>
      </c>
      <c r="J34" s="64">
        <v>118980</v>
      </c>
      <c r="K34" s="72">
        <v>0</v>
      </c>
      <c r="L34" s="64">
        <v>6540</v>
      </c>
      <c r="M34" s="64">
        <v>136120</v>
      </c>
      <c r="N34" s="64">
        <v>302550</v>
      </c>
      <c r="O34" s="64">
        <v>136630</v>
      </c>
      <c r="P34" s="65">
        <f t="shared" si="0"/>
        <v>700820</v>
      </c>
    </row>
    <row r="35" spans="1:16" x14ac:dyDescent="0.25">
      <c r="A35" s="160"/>
      <c r="B35" s="160"/>
      <c r="C35" s="61" t="s">
        <v>89</v>
      </c>
      <c r="D35" s="64">
        <v>0</v>
      </c>
      <c r="E35" s="64">
        <v>0</v>
      </c>
      <c r="F35" s="64">
        <v>0</v>
      </c>
      <c r="G35" s="64">
        <v>0</v>
      </c>
      <c r="H35" s="72">
        <v>0</v>
      </c>
      <c r="I35" s="64">
        <v>0</v>
      </c>
      <c r="J35" s="64">
        <v>0</v>
      </c>
      <c r="K35" s="72">
        <v>0</v>
      </c>
      <c r="L35" s="72">
        <v>0</v>
      </c>
      <c r="M35" s="72">
        <v>0</v>
      </c>
      <c r="N35" s="64">
        <v>0</v>
      </c>
      <c r="O35" s="72">
        <v>0</v>
      </c>
      <c r="P35" s="65">
        <f t="shared" si="0"/>
        <v>0</v>
      </c>
    </row>
    <row r="36" spans="1:16" x14ac:dyDescent="0.25">
      <c r="A36" s="160"/>
      <c r="B36" s="160"/>
      <c r="C36" s="61" t="s">
        <v>144</v>
      </c>
      <c r="D36" s="72">
        <v>0</v>
      </c>
      <c r="E36" s="72">
        <v>0</v>
      </c>
      <c r="F36" s="72">
        <v>0</v>
      </c>
      <c r="G36" s="64">
        <v>0</v>
      </c>
      <c r="H36" s="72">
        <v>0</v>
      </c>
      <c r="I36" s="72">
        <v>0</v>
      </c>
      <c r="J36" s="72">
        <v>118980</v>
      </c>
      <c r="K36" s="72">
        <v>0</v>
      </c>
      <c r="L36" s="72">
        <v>0</v>
      </c>
      <c r="M36" s="72">
        <v>0</v>
      </c>
      <c r="N36" s="64">
        <v>0</v>
      </c>
      <c r="O36" s="72">
        <v>0</v>
      </c>
      <c r="P36" s="65">
        <f t="shared" si="0"/>
        <v>118980</v>
      </c>
    </row>
    <row r="37" spans="1:16" x14ac:dyDescent="0.25">
      <c r="A37" s="160"/>
      <c r="B37" s="160"/>
      <c r="C37" s="61" t="s">
        <v>145</v>
      </c>
      <c r="D37" s="64">
        <v>0</v>
      </c>
      <c r="E37" s="72">
        <v>0</v>
      </c>
      <c r="F37" s="64">
        <v>0</v>
      </c>
      <c r="G37" s="64">
        <v>0</v>
      </c>
      <c r="H37" s="64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64">
        <v>0</v>
      </c>
      <c r="O37" s="72">
        <v>0</v>
      </c>
      <c r="P37" s="65">
        <f t="shared" si="0"/>
        <v>0</v>
      </c>
    </row>
    <row r="38" spans="1:16" x14ac:dyDescent="0.25">
      <c r="A38" s="157" t="s">
        <v>93</v>
      </c>
      <c r="B38" s="158"/>
      <c r="C38" s="159"/>
      <c r="D38" s="82">
        <v>0</v>
      </c>
      <c r="E38" s="66">
        <v>0</v>
      </c>
      <c r="F38" s="66">
        <v>0</v>
      </c>
      <c r="G38" s="66">
        <v>0</v>
      </c>
      <c r="H38" s="66">
        <f>(H34+H30)-(H31+H32+H33+H35+H36+H37)</f>
        <v>0</v>
      </c>
      <c r="I38" s="66">
        <f t="shared" ref="I38:P38" si="5">(I34+I30)-(I31+I32+I33+I35+I36+I37)</f>
        <v>0</v>
      </c>
      <c r="J38" s="66">
        <f t="shared" si="5"/>
        <v>0</v>
      </c>
      <c r="K38" s="66">
        <f t="shared" si="5"/>
        <v>0</v>
      </c>
      <c r="L38" s="66">
        <f t="shared" si="5"/>
        <v>0</v>
      </c>
      <c r="M38" s="66">
        <f t="shared" si="5"/>
        <v>0</v>
      </c>
      <c r="N38" s="66">
        <f t="shared" si="5"/>
        <v>0</v>
      </c>
      <c r="O38" s="66">
        <f t="shared" si="5"/>
        <v>0</v>
      </c>
      <c r="P38" s="66">
        <f t="shared" si="5"/>
        <v>0</v>
      </c>
    </row>
    <row r="39" spans="1:16" ht="40.5" x14ac:dyDescent="0.25">
      <c r="A39" s="61" t="s">
        <v>148</v>
      </c>
      <c r="B39" s="91"/>
      <c r="C39" s="91"/>
      <c r="D39" s="73">
        <f>D29+D24+D19+D14</f>
        <v>527999</v>
      </c>
      <c r="E39" s="73">
        <f t="shared" ref="E39:F39" si="6">E29+E24+E19+E14</f>
        <v>479496</v>
      </c>
      <c r="F39" s="73">
        <f t="shared" si="6"/>
        <v>618317</v>
      </c>
      <c r="G39" s="73">
        <v>552702</v>
      </c>
      <c r="H39" s="73">
        <v>572026</v>
      </c>
      <c r="I39" s="73">
        <f t="shared" ref="I39:N39" si="7">I29+I24+I19+I14+I38</f>
        <v>514327</v>
      </c>
      <c r="J39" s="73">
        <f t="shared" si="7"/>
        <v>568638</v>
      </c>
      <c r="K39" s="73">
        <f t="shared" si="7"/>
        <v>533803</v>
      </c>
      <c r="L39" s="73">
        <f t="shared" si="7"/>
        <v>587898</v>
      </c>
      <c r="M39" s="73">
        <f t="shared" si="7"/>
        <v>577942</v>
      </c>
      <c r="N39" s="73">
        <f t="shared" si="7"/>
        <v>579143</v>
      </c>
      <c r="O39" s="73">
        <v>622151</v>
      </c>
      <c r="P39" s="92">
        <f t="shared" si="0"/>
        <v>6734442</v>
      </c>
    </row>
  </sheetData>
  <mergeCells count="18">
    <mergeCell ref="A15:A18"/>
    <mergeCell ref="B15:B18"/>
    <mergeCell ref="A2:A13"/>
    <mergeCell ref="B2:B5"/>
    <mergeCell ref="B6:B9"/>
    <mergeCell ref="B10:B13"/>
    <mergeCell ref="A14:C14"/>
    <mergeCell ref="A19:C19"/>
    <mergeCell ref="A20:A23"/>
    <mergeCell ref="B20:B23"/>
    <mergeCell ref="A24:C24"/>
    <mergeCell ref="A25:A28"/>
    <mergeCell ref="B25:B28"/>
    <mergeCell ref="A29:C29"/>
    <mergeCell ref="A30:A37"/>
    <mergeCell ref="B30:B33"/>
    <mergeCell ref="B34:B37"/>
    <mergeCell ref="A38:C3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19" workbookViewId="0">
      <selection activeCell="B26" sqref="B26:B29"/>
    </sheetView>
  </sheetViews>
  <sheetFormatPr baseColWidth="10" defaultRowHeight="15" x14ac:dyDescent="0.25"/>
  <cols>
    <col min="3" max="3" width="13" customWidth="1"/>
  </cols>
  <sheetData>
    <row r="1" spans="1:16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107</v>
      </c>
      <c r="P1" s="45" t="s">
        <v>86</v>
      </c>
    </row>
    <row r="2" spans="1:16" x14ac:dyDescent="0.25">
      <c r="A2" s="143" t="s">
        <v>3</v>
      </c>
      <c r="B2" s="143" t="s">
        <v>149</v>
      </c>
      <c r="C2" s="71" t="s">
        <v>88</v>
      </c>
      <c r="D2" s="64">
        <v>52819041</v>
      </c>
      <c r="E2" s="64">
        <v>46633159</v>
      </c>
      <c r="F2" s="64">
        <v>51820887</v>
      </c>
      <c r="G2" s="64">
        <v>51544517</v>
      </c>
      <c r="H2" s="64">
        <v>52272694</v>
      </c>
      <c r="I2" s="64">
        <v>47123187</v>
      </c>
      <c r="J2" s="64">
        <v>53731975</v>
      </c>
      <c r="K2" s="64">
        <v>51001689</v>
      </c>
      <c r="L2" s="64">
        <v>50646053</v>
      </c>
      <c r="M2" s="64">
        <v>52953219</v>
      </c>
      <c r="N2" s="64">
        <v>48653200</v>
      </c>
      <c r="O2" s="64">
        <v>54497133</v>
      </c>
      <c r="P2" s="65">
        <f>SUM(D2:O2)</f>
        <v>613696754</v>
      </c>
    </row>
    <row r="3" spans="1:16" x14ac:dyDescent="0.25">
      <c r="A3" s="143"/>
      <c r="B3" s="143"/>
      <c r="C3" s="71" t="s">
        <v>89</v>
      </c>
      <c r="D3" s="64">
        <v>1917217</v>
      </c>
      <c r="E3" s="64">
        <v>1695998</v>
      </c>
      <c r="F3" s="64">
        <v>1883318</v>
      </c>
      <c r="G3" s="64">
        <v>1844006</v>
      </c>
      <c r="H3" s="64">
        <v>1899587</v>
      </c>
      <c r="I3" s="64">
        <v>1696770</v>
      </c>
      <c r="J3" s="64">
        <v>1904368</v>
      </c>
      <c r="K3" s="64">
        <v>1798840</v>
      </c>
      <c r="L3" s="64">
        <v>1725645</v>
      </c>
      <c r="M3" s="64">
        <v>1834137</v>
      </c>
      <c r="N3" s="64">
        <v>1662696</v>
      </c>
      <c r="O3" s="64">
        <v>1887882</v>
      </c>
      <c r="P3" s="65">
        <f t="shared" ref="P3:P31" si="0">SUM(D3:O3)</f>
        <v>21750464</v>
      </c>
    </row>
    <row r="4" spans="1:16" x14ac:dyDescent="0.25">
      <c r="A4" s="143"/>
      <c r="B4" s="143"/>
      <c r="C4" s="71" t="s">
        <v>144</v>
      </c>
      <c r="D4" s="64">
        <v>74182</v>
      </c>
      <c r="E4" s="64">
        <v>117768</v>
      </c>
      <c r="F4" s="64">
        <v>75235</v>
      </c>
      <c r="G4" s="64">
        <v>118415</v>
      </c>
      <c r="H4" s="64">
        <v>166818</v>
      </c>
      <c r="I4" s="64">
        <v>324247</v>
      </c>
      <c r="J4" s="64">
        <v>105595</v>
      </c>
      <c r="K4" s="64">
        <v>272839</v>
      </c>
      <c r="L4" s="64">
        <v>186395</v>
      </c>
      <c r="M4" s="64">
        <v>273227</v>
      </c>
      <c r="N4" s="64">
        <v>340812</v>
      </c>
      <c r="O4" s="64">
        <v>248312</v>
      </c>
      <c r="P4" s="65">
        <f t="shared" si="0"/>
        <v>2303845</v>
      </c>
    </row>
    <row r="5" spans="1:16" x14ac:dyDescent="0.25">
      <c r="A5" s="143"/>
      <c r="B5" s="143"/>
      <c r="C5" s="71" t="s">
        <v>145</v>
      </c>
      <c r="D5" s="64">
        <v>50650091</v>
      </c>
      <c r="E5" s="64">
        <v>44646511</v>
      </c>
      <c r="F5" s="64">
        <v>49670042</v>
      </c>
      <c r="G5" s="64">
        <v>49405099</v>
      </c>
      <c r="H5" s="64">
        <v>50001358</v>
      </c>
      <c r="I5" s="64">
        <v>44881678</v>
      </c>
      <c r="J5" s="64">
        <v>51518721</v>
      </c>
      <c r="K5" s="64">
        <v>48726588</v>
      </c>
      <c r="L5" s="64">
        <v>48531746</v>
      </c>
      <c r="M5" s="64">
        <v>50646395</v>
      </c>
      <c r="N5" s="64">
        <v>46442710</v>
      </c>
      <c r="O5" s="64">
        <v>52141311</v>
      </c>
      <c r="P5" s="65">
        <f t="shared" si="0"/>
        <v>587262250</v>
      </c>
    </row>
    <row r="6" spans="1:16" x14ac:dyDescent="0.25">
      <c r="A6" s="161" t="s">
        <v>93</v>
      </c>
      <c r="B6" s="162"/>
      <c r="C6" s="163"/>
      <c r="D6" s="66">
        <f>D2-(D3+D4+D5)</f>
        <v>177551</v>
      </c>
      <c r="E6" s="66">
        <f t="shared" ref="E6:O6" si="1">E2-(E3+E4+E5)</f>
        <v>172882</v>
      </c>
      <c r="F6" s="66">
        <f t="shared" si="1"/>
        <v>192292</v>
      </c>
      <c r="G6" s="66">
        <f t="shared" si="1"/>
        <v>176997</v>
      </c>
      <c r="H6" s="66">
        <f t="shared" si="1"/>
        <v>204931</v>
      </c>
      <c r="I6" s="66">
        <f t="shared" si="1"/>
        <v>220492</v>
      </c>
      <c r="J6" s="66">
        <f t="shared" si="1"/>
        <v>203291</v>
      </c>
      <c r="K6" s="66">
        <f t="shared" si="1"/>
        <v>203422</v>
      </c>
      <c r="L6" s="66">
        <f t="shared" si="1"/>
        <v>202267</v>
      </c>
      <c r="M6" s="66">
        <f t="shared" si="1"/>
        <v>199460</v>
      </c>
      <c r="N6" s="66">
        <f t="shared" si="1"/>
        <v>206982</v>
      </c>
      <c r="O6" s="66">
        <f t="shared" si="1"/>
        <v>219628</v>
      </c>
      <c r="P6" s="66">
        <f t="shared" si="0"/>
        <v>2380195</v>
      </c>
    </row>
    <row r="7" spans="1:16" x14ac:dyDescent="0.25">
      <c r="A7" s="160" t="s">
        <v>6</v>
      </c>
      <c r="B7" s="160" t="s">
        <v>95</v>
      </c>
      <c r="C7" s="61" t="s">
        <v>88</v>
      </c>
      <c r="D7" s="64">
        <v>31791906</v>
      </c>
      <c r="E7" s="64">
        <v>27868660</v>
      </c>
      <c r="F7" s="64">
        <v>31129643</v>
      </c>
      <c r="G7" s="64">
        <v>31722347</v>
      </c>
      <c r="H7" s="64">
        <v>32382947</v>
      </c>
      <c r="I7" s="64">
        <v>27743081</v>
      </c>
      <c r="J7" s="64">
        <v>31285913</v>
      </c>
      <c r="K7" s="64">
        <v>25979287</v>
      </c>
      <c r="L7" s="64">
        <v>28500368</v>
      </c>
      <c r="M7" s="64">
        <v>29775040</v>
      </c>
      <c r="N7" s="64">
        <v>28591130</v>
      </c>
      <c r="O7" s="64">
        <v>28577973</v>
      </c>
      <c r="P7" s="65">
        <f t="shared" si="0"/>
        <v>355348295</v>
      </c>
    </row>
    <row r="8" spans="1:16" x14ac:dyDescent="0.25">
      <c r="A8" s="160"/>
      <c r="B8" s="160"/>
      <c r="C8" s="61" t="s">
        <v>89</v>
      </c>
      <c r="D8" s="64">
        <v>1310434</v>
      </c>
      <c r="E8" s="64">
        <v>1139020</v>
      </c>
      <c r="F8" s="64">
        <v>1307500</v>
      </c>
      <c r="G8" s="64">
        <v>1323633</v>
      </c>
      <c r="H8" s="64">
        <v>1386633</v>
      </c>
      <c r="I8" s="64">
        <v>1149654</v>
      </c>
      <c r="J8" s="64">
        <v>1247149</v>
      </c>
      <c r="K8" s="64">
        <v>997663</v>
      </c>
      <c r="L8" s="64">
        <v>968641</v>
      </c>
      <c r="M8" s="64">
        <v>1042539</v>
      </c>
      <c r="N8" s="64">
        <v>1013493</v>
      </c>
      <c r="O8" s="64">
        <v>1037713</v>
      </c>
      <c r="P8" s="65">
        <f t="shared" si="0"/>
        <v>13924072</v>
      </c>
    </row>
    <row r="9" spans="1:16" x14ac:dyDescent="0.25">
      <c r="A9" s="160"/>
      <c r="B9" s="160"/>
      <c r="C9" s="61" t="s">
        <v>144</v>
      </c>
      <c r="D9" s="64">
        <v>44277</v>
      </c>
      <c r="E9" s="64">
        <v>82310</v>
      </c>
      <c r="F9" s="64">
        <v>65062</v>
      </c>
      <c r="G9" s="64">
        <v>53485</v>
      </c>
      <c r="H9" s="64">
        <v>53735</v>
      </c>
      <c r="I9" s="64">
        <v>48284</v>
      </c>
      <c r="J9" s="64">
        <v>57219</v>
      </c>
      <c r="K9" s="64">
        <v>91721</v>
      </c>
      <c r="L9" s="64">
        <v>165509</v>
      </c>
      <c r="M9" s="64">
        <v>170743</v>
      </c>
      <c r="N9" s="64">
        <v>181265</v>
      </c>
      <c r="O9" s="64">
        <v>192478</v>
      </c>
      <c r="P9" s="65">
        <f t="shared" si="0"/>
        <v>1206088</v>
      </c>
    </row>
    <row r="10" spans="1:16" x14ac:dyDescent="0.25">
      <c r="A10" s="160"/>
      <c r="B10" s="160"/>
      <c r="C10" s="61" t="s">
        <v>145</v>
      </c>
      <c r="D10" s="64">
        <v>30109026</v>
      </c>
      <c r="E10" s="64">
        <v>26302719</v>
      </c>
      <c r="F10" s="64">
        <v>29370910</v>
      </c>
      <c r="G10" s="64">
        <v>29999074</v>
      </c>
      <c r="H10" s="64">
        <v>30539154</v>
      </c>
      <c r="I10" s="64">
        <v>26166168</v>
      </c>
      <c r="J10" s="64">
        <v>29599683</v>
      </c>
      <c r="K10" s="64">
        <v>24576816</v>
      </c>
      <c r="L10" s="64">
        <v>27050252</v>
      </c>
      <c r="M10" s="64">
        <v>28257087</v>
      </c>
      <c r="N10" s="64">
        <v>27061831</v>
      </c>
      <c r="O10" s="64">
        <v>27019889</v>
      </c>
      <c r="P10" s="65">
        <f t="shared" si="0"/>
        <v>336052609</v>
      </c>
    </row>
    <row r="11" spans="1:16" x14ac:dyDescent="0.25">
      <c r="A11" s="157" t="s">
        <v>147</v>
      </c>
      <c r="B11" s="158"/>
      <c r="C11" s="159"/>
      <c r="D11" s="66">
        <f>D7-(D10+D9+D8)</f>
        <v>328169</v>
      </c>
      <c r="E11" s="66">
        <f t="shared" ref="E11:O11" si="2">E7-(E10+E9+E8)</f>
        <v>344611</v>
      </c>
      <c r="F11" s="66">
        <f t="shared" si="2"/>
        <v>386171</v>
      </c>
      <c r="G11" s="66">
        <f t="shared" si="2"/>
        <v>346155</v>
      </c>
      <c r="H11" s="66">
        <f t="shared" si="2"/>
        <v>403425</v>
      </c>
      <c r="I11" s="66">
        <f t="shared" si="2"/>
        <v>378975</v>
      </c>
      <c r="J11" s="66">
        <f t="shared" si="2"/>
        <v>381862</v>
      </c>
      <c r="K11" s="66">
        <f t="shared" si="2"/>
        <v>313087</v>
      </c>
      <c r="L11" s="66">
        <f t="shared" si="2"/>
        <v>315966</v>
      </c>
      <c r="M11" s="66">
        <f t="shared" si="2"/>
        <v>304671</v>
      </c>
      <c r="N11" s="66">
        <f t="shared" si="2"/>
        <v>334541</v>
      </c>
      <c r="O11" s="66">
        <f t="shared" si="2"/>
        <v>327893</v>
      </c>
      <c r="P11" s="66">
        <f t="shared" si="0"/>
        <v>4165526</v>
      </c>
    </row>
    <row r="12" spans="1:16" x14ac:dyDescent="0.25">
      <c r="A12" s="160" t="s">
        <v>18</v>
      </c>
      <c r="B12" s="160" t="s">
        <v>95</v>
      </c>
      <c r="C12" s="61" t="s">
        <v>88</v>
      </c>
      <c r="D12" s="64">
        <v>372845</v>
      </c>
      <c r="E12" s="64">
        <v>326285</v>
      </c>
      <c r="F12" s="64">
        <v>294779</v>
      </c>
      <c r="G12" s="64">
        <v>284108</v>
      </c>
      <c r="H12" s="64">
        <v>259011</v>
      </c>
      <c r="I12" s="64">
        <v>231965</v>
      </c>
      <c r="J12" s="64">
        <v>310244</v>
      </c>
      <c r="K12" s="64">
        <v>247643</v>
      </c>
      <c r="L12" s="64">
        <v>338790</v>
      </c>
      <c r="M12" s="64">
        <v>379386</v>
      </c>
      <c r="N12" s="64">
        <v>418015</v>
      </c>
      <c r="O12" s="64">
        <v>457322</v>
      </c>
      <c r="P12" s="65">
        <f t="shared" si="0"/>
        <v>3920393</v>
      </c>
    </row>
    <row r="13" spans="1:16" x14ac:dyDescent="0.25">
      <c r="A13" s="160"/>
      <c r="B13" s="160"/>
      <c r="C13" s="61" t="s">
        <v>89</v>
      </c>
      <c r="D13" s="64">
        <v>15376</v>
      </c>
      <c r="E13" s="64">
        <v>13375</v>
      </c>
      <c r="F13" s="64">
        <v>12450</v>
      </c>
      <c r="G13" s="64">
        <v>11857</v>
      </c>
      <c r="H13" s="64">
        <v>11105</v>
      </c>
      <c r="I13" s="64">
        <v>9526</v>
      </c>
      <c r="J13" s="64">
        <v>12369</v>
      </c>
      <c r="K13" s="64">
        <v>9543</v>
      </c>
      <c r="L13" s="64">
        <v>11494</v>
      </c>
      <c r="M13" s="64">
        <v>13287</v>
      </c>
      <c r="N13" s="64">
        <v>14818</v>
      </c>
      <c r="O13" s="64">
        <v>16614</v>
      </c>
      <c r="P13" s="65">
        <f t="shared" si="0"/>
        <v>151814</v>
      </c>
    </row>
    <row r="14" spans="1:16" x14ac:dyDescent="0.25">
      <c r="A14" s="160"/>
      <c r="B14" s="160"/>
      <c r="C14" s="61" t="s">
        <v>144</v>
      </c>
      <c r="D14" s="64">
        <v>28330</v>
      </c>
      <c r="E14" s="64">
        <v>23079</v>
      </c>
      <c r="F14" s="64">
        <v>4020</v>
      </c>
      <c r="G14" s="64">
        <v>476</v>
      </c>
      <c r="H14" s="64">
        <v>431</v>
      </c>
      <c r="I14" s="64">
        <v>397</v>
      </c>
      <c r="J14" s="64">
        <v>576</v>
      </c>
      <c r="K14" s="64">
        <v>944</v>
      </c>
      <c r="L14" s="64">
        <v>2013</v>
      </c>
      <c r="M14" s="64">
        <v>2188</v>
      </c>
      <c r="N14" s="64">
        <v>2657</v>
      </c>
      <c r="O14" s="64">
        <v>3080</v>
      </c>
      <c r="P14" s="65">
        <f t="shared" si="0"/>
        <v>68191</v>
      </c>
    </row>
    <row r="15" spans="1:16" x14ac:dyDescent="0.25">
      <c r="A15" s="160"/>
      <c r="B15" s="160"/>
      <c r="C15" s="61" t="s">
        <v>145</v>
      </c>
      <c r="D15" s="64">
        <v>325241</v>
      </c>
      <c r="E15" s="64">
        <v>285825</v>
      </c>
      <c r="F15" s="64">
        <v>274565</v>
      </c>
      <c r="G15" s="64">
        <v>268680</v>
      </c>
      <c r="H15" s="64">
        <v>244247</v>
      </c>
      <c r="I15" s="64">
        <v>218944</v>
      </c>
      <c r="J15" s="64">
        <v>293516</v>
      </c>
      <c r="K15" s="64">
        <v>234262</v>
      </c>
      <c r="L15" s="64">
        <v>321404</v>
      </c>
      <c r="M15" s="64">
        <v>360025</v>
      </c>
      <c r="N15" s="64">
        <v>395636</v>
      </c>
      <c r="O15" s="64">
        <v>432352</v>
      </c>
      <c r="P15" s="65">
        <f t="shared" si="0"/>
        <v>3654697</v>
      </c>
    </row>
    <row r="16" spans="1:16" x14ac:dyDescent="0.25">
      <c r="A16" s="157" t="s">
        <v>93</v>
      </c>
      <c r="B16" s="158"/>
      <c r="C16" s="159"/>
      <c r="D16" s="66">
        <f>D12-(D15+D14+D13)</f>
        <v>3898</v>
      </c>
      <c r="E16" s="66">
        <f t="shared" ref="E16:N16" si="3">E12-(E15+E14+E13)</f>
        <v>4006</v>
      </c>
      <c r="F16" s="66">
        <f t="shared" si="3"/>
        <v>3744</v>
      </c>
      <c r="G16" s="66">
        <f t="shared" si="3"/>
        <v>3095</v>
      </c>
      <c r="H16" s="66">
        <f t="shared" si="3"/>
        <v>3228</v>
      </c>
      <c r="I16" s="66">
        <f t="shared" si="3"/>
        <v>3098</v>
      </c>
      <c r="J16" s="66">
        <f t="shared" si="3"/>
        <v>3783</v>
      </c>
      <c r="K16" s="66">
        <f t="shared" si="3"/>
        <v>2894</v>
      </c>
      <c r="L16" s="66">
        <f t="shared" si="3"/>
        <v>3879</v>
      </c>
      <c r="M16" s="66">
        <f t="shared" si="3"/>
        <v>3886</v>
      </c>
      <c r="N16" s="66">
        <f t="shared" si="3"/>
        <v>4904</v>
      </c>
      <c r="O16" s="66">
        <f>O12-(O15+O14+O13)</f>
        <v>5276</v>
      </c>
      <c r="P16" s="66">
        <f t="shared" si="0"/>
        <v>45691</v>
      </c>
    </row>
    <row r="17" spans="1:16" x14ac:dyDescent="0.25">
      <c r="A17" s="160" t="s">
        <v>8</v>
      </c>
      <c r="B17" s="160" t="s">
        <v>94</v>
      </c>
      <c r="C17" s="61" t="s">
        <v>88</v>
      </c>
      <c r="D17" s="64">
        <v>2167689</v>
      </c>
      <c r="E17" s="64">
        <v>2064624</v>
      </c>
      <c r="F17" s="64">
        <v>2399950</v>
      </c>
      <c r="G17" s="64">
        <v>2285078</v>
      </c>
      <c r="H17" s="64">
        <v>2515261</v>
      </c>
      <c r="I17" s="64">
        <v>2273752</v>
      </c>
      <c r="J17" s="64">
        <v>2331422</v>
      </c>
      <c r="K17" s="64">
        <v>3031455</v>
      </c>
      <c r="L17" s="64">
        <v>3482068</v>
      </c>
      <c r="M17" s="64">
        <v>2964208</v>
      </c>
      <c r="N17" s="64">
        <v>2706073</v>
      </c>
      <c r="O17" s="64">
        <v>2654152</v>
      </c>
      <c r="P17" s="65">
        <f t="shared" si="0"/>
        <v>30875732</v>
      </c>
    </row>
    <row r="18" spans="1:16" x14ac:dyDescent="0.25">
      <c r="A18" s="160"/>
      <c r="B18" s="160"/>
      <c r="C18" s="61" t="s">
        <v>89</v>
      </c>
      <c r="D18" s="64">
        <v>74876</v>
      </c>
      <c r="E18" s="64">
        <v>70611</v>
      </c>
      <c r="F18" s="64">
        <v>82971</v>
      </c>
      <c r="G18" s="64">
        <v>76753</v>
      </c>
      <c r="H18" s="64">
        <v>85474</v>
      </c>
      <c r="I18" s="64">
        <v>76973</v>
      </c>
      <c r="J18" s="64">
        <v>79097</v>
      </c>
      <c r="K18" s="64">
        <v>103771</v>
      </c>
      <c r="L18" s="64">
        <v>119167</v>
      </c>
      <c r="M18" s="64">
        <v>102762</v>
      </c>
      <c r="N18" s="64">
        <v>90951</v>
      </c>
      <c r="O18" s="64">
        <v>90238</v>
      </c>
      <c r="P18" s="65">
        <f t="shared" si="0"/>
        <v>1053644</v>
      </c>
    </row>
    <row r="19" spans="1:16" x14ac:dyDescent="0.25">
      <c r="A19" s="160"/>
      <c r="B19" s="160"/>
      <c r="C19" s="61" t="s">
        <v>144</v>
      </c>
      <c r="D19" s="64">
        <v>2250</v>
      </c>
      <c r="E19" s="64">
        <v>3595</v>
      </c>
      <c r="F19" s="64">
        <v>2168</v>
      </c>
      <c r="G19" s="64">
        <v>5811</v>
      </c>
      <c r="H19" s="64">
        <v>9654</v>
      </c>
      <c r="I19" s="64">
        <v>21967</v>
      </c>
      <c r="J19" s="64">
        <v>4677</v>
      </c>
      <c r="K19" s="64">
        <v>21444</v>
      </c>
      <c r="L19" s="64">
        <v>112926</v>
      </c>
      <c r="M19" s="64">
        <v>14756</v>
      </c>
      <c r="N19" s="64">
        <v>25007</v>
      </c>
      <c r="O19" s="64">
        <v>9688</v>
      </c>
      <c r="P19" s="65">
        <f t="shared" si="0"/>
        <v>233943</v>
      </c>
    </row>
    <row r="20" spans="1:16" x14ac:dyDescent="0.25">
      <c r="A20" s="160"/>
      <c r="B20" s="160"/>
      <c r="C20" s="61" t="s">
        <v>145</v>
      </c>
      <c r="D20" s="64">
        <v>2090563</v>
      </c>
      <c r="E20" s="64">
        <v>1989107</v>
      </c>
      <c r="F20" s="64">
        <v>2314810</v>
      </c>
      <c r="G20" s="64">
        <v>2202514</v>
      </c>
      <c r="H20" s="64">
        <v>2420134</v>
      </c>
      <c r="I20" s="64">
        <v>2174813</v>
      </c>
      <c r="J20" s="64">
        <v>2247648</v>
      </c>
      <c r="K20" s="64">
        <v>2906240</v>
      </c>
      <c r="L20" s="64">
        <v>3249976</v>
      </c>
      <c r="M20" s="64">
        <v>2846691</v>
      </c>
      <c r="N20" s="64">
        <v>2590115</v>
      </c>
      <c r="O20" s="64">
        <v>2554226</v>
      </c>
      <c r="P20" s="65">
        <f t="shared" si="0"/>
        <v>29586837</v>
      </c>
    </row>
    <row r="21" spans="1:16" x14ac:dyDescent="0.25">
      <c r="A21" s="157" t="s">
        <v>93</v>
      </c>
      <c r="B21" s="158"/>
      <c r="C21" s="159"/>
      <c r="D21" s="82">
        <f>D17-(D20+D19+D18)</f>
        <v>0</v>
      </c>
      <c r="E21" s="82">
        <f t="shared" ref="E21:O21" si="4">E17-(E20+E19+E18)</f>
        <v>1311</v>
      </c>
      <c r="F21" s="82">
        <v>0</v>
      </c>
      <c r="G21" s="82">
        <v>0</v>
      </c>
      <c r="H21" s="82">
        <v>0</v>
      </c>
      <c r="I21" s="82">
        <v>0</v>
      </c>
      <c r="J21" s="82">
        <f t="shared" si="4"/>
        <v>0</v>
      </c>
      <c r="K21" s="82">
        <f t="shared" si="4"/>
        <v>0</v>
      </c>
      <c r="L21" s="82">
        <v>0</v>
      </c>
      <c r="M21" s="82">
        <v>0</v>
      </c>
      <c r="N21" s="82">
        <f t="shared" si="4"/>
        <v>0</v>
      </c>
      <c r="O21" s="82">
        <f t="shared" si="4"/>
        <v>0</v>
      </c>
      <c r="P21" s="66">
        <f t="shared" si="0"/>
        <v>1311</v>
      </c>
    </row>
    <row r="22" spans="1:16" x14ac:dyDescent="0.25">
      <c r="A22" s="160" t="s">
        <v>12</v>
      </c>
      <c r="B22" s="160" t="s">
        <v>96</v>
      </c>
      <c r="C22" s="61" t="s">
        <v>88</v>
      </c>
      <c r="D22" s="72">
        <v>1325410</v>
      </c>
      <c r="E22" s="72">
        <v>1132730</v>
      </c>
      <c r="F22" s="64">
        <v>1304010</v>
      </c>
      <c r="G22" s="72">
        <v>1303410</v>
      </c>
      <c r="H22" s="64">
        <v>1850360</v>
      </c>
      <c r="I22" s="64">
        <v>1803753</v>
      </c>
      <c r="J22" s="64">
        <v>1915220</v>
      </c>
      <c r="K22" s="64">
        <v>1895300</v>
      </c>
      <c r="L22" s="64">
        <v>1753680</v>
      </c>
      <c r="M22" s="64">
        <v>1847298</v>
      </c>
      <c r="N22" s="64">
        <v>1415127</v>
      </c>
      <c r="O22" s="64">
        <v>1332138</v>
      </c>
      <c r="P22" s="65">
        <f t="shared" si="0"/>
        <v>18878436</v>
      </c>
    </row>
    <row r="23" spans="1:16" x14ac:dyDescent="0.25">
      <c r="A23" s="160"/>
      <c r="B23" s="160"/>
      <c r="C23" s="61" t="s">
        <v>89</v>
      </c>
      <c r="D23" s="64">
        <v>62740</v>
      </c>
      <c r="E23" s="64">
        <v>49570</v>
      </c>
      <c r="F23" s="64">
        <v>53570</v>
      </c>
      <c r="G23" s="72">
        <v>52500</v>
      </c>
      <c r="H23" s="64">
        <v>59510</v>
      </c>
      <c r="I23" s="64">
        <v>54440</v>
      </c>
      <c r="J23" s="64">
        <v>60670</v>
      </c>
      <c r="K23" s="64">
        <v>59240</v>
      </c>
      <c r="L23" s="64">
        <v>55320</v>
      </c>
      <c r="M23" s="64">
        <v>57758</v>
      </c>
      <c r="N23" s="72">
        <v>58770</v>
      </c>
      <c r="O23" s="72">
        <v>61330</v>
      </c>
      <c r="P23" s="65">
        <f t="shared" si="0"/>
        <v>685418</v>
      </c>
    </row>
    <row r="24" spans="1:16" x14ac:dyDescent="0.25">
      <c r="A24" s="160"/>
      <c r="B24" s="160"/>
      <c r="C24" s="61" t="s">
        <v>144</v>
      </c>
      <c r="D24" s="64">
        <v>54340</v>
      </c>
      <c r="E24" s="64">
        <v>30250</v>
      </c>
      <c r="F24" s="64">
        <v>51420</v>
      </c>
      <c r="G24" s="72">
        <v>246850</v>
      </c>
      <c r="H24" s="64">
        <v>600660</v>
      </c>
      <c r="I24" s="64">
        <v>616203</v>
      </c>
      <c r="J24" s="64">
        <v>625640</v>
      </c>
      <c r="K24" s="64">
        <v>633620</v>
      </c>
      <c r="L24" s="64">
        <v>612720</v>
      </c>
      <c r="M24" s="64">
        <v>640140</v>
      </c>
      <c r="N24" s="72">
        <v>440301</v>
      </c>
      <c r="O24" s="72">
        <v>408100</v>
      </c>
      <c r="P24" s="65">
        <f t="shared" si="0"/>
        <v>4960244</v>
      </c>
    </row>
    <row r="25" spans="1:16" x14ac:dyDescent="0.25">
      <c r="A25" s="160"/>
      <c r="B25" s="160"/>
      <c r="C25" s="61" t="s">
        <v>145</v>
      </c>
      <c r="D25" s="64">
        <v>1212610</v>
      </c>
      <c r="E25" s="64">
        <v>1052910</v>
      </c>
      <c r="F25" s="64">
        <v>1199020</v>
      </c>
      <c r="G25" s="64">
        <v>1062830</v>
      </c>
      <c r="H25" s="64">
        <v>1190190</v>
      </c>
      <c r="I25" s="64">
        <v>1135200</v>
      </c>
      <c r="J25" s="72">
        <v>1228910</v>
      </c>
      <c r="K25" s="64">
        <v>1202440</v>
      </c>
      <c r="L25" s="64">
        <v>1110100</v>
      </c>
      <c r="M25" s="64">
        <v>1149400</v>
      </c>
      <c r="N25" s="64">
        <v>1160150</v>
      </c>
      <c r="O25" s="64">
        <v>1230229</v>
      </c>
      <c r="P25" s="65">
        <f t="shared" si="0"/>
        <v>13933989</v>
      </c>
    </row>
    <row r="26" spans="1:16" x14ac:dyDescent="0.25">
      <c r="A26" s="160"/>
      <c r="B26" s="160" t="s">
        <v>97</v>
      </c>
      <c r="C26" s="61" t="s">
        <v>88</v>
      </c>
      <c r="D26" s="64">
        <v>4280</v>
      </c>
      <c r="E26" s="72">
        <v>0</v>
      </c>
      <c r="F26" s="64">
        <v>0</v>
      </c>
      <c r="G26" s="72">
        <v>58770</v>
      </c>
      <c r="H26" s="72">
        <v>0</v>
      </c>
      <c r="I26" s="64">
        <v>2090</v>
      </c>
      <c r="J26" s="64">
        <v>0</v>
      </c>
      <c r="K26" s="72">
        <v>0</v>
      </c>
      <c r="L26" s="64">
        <v>24460</v>
      </c>
      <c r="M26" s="64">
        <v>0</v>
      </c>
      <c r="N26" s="64">
        <v>244094</v>
      </c>
      <c r="O26" s="64">
        <v>367521</v>
      </c>
      <c r="P26" s="65">
        <f t="shared" si="0"/>
        <v>701215</v>
      </c>
    </row>
    <row r="27" spans="1:16" x14ac:dyDescent="0.25">
      <c r="A27" s="160"/>
      <c r="B27" s="160"/>
      <c r="C27" s="61" t="s">
        <v>89</v>
      </c>
      <c r="D27" s="64">
        <v>0</v>
      </c>
      <c r="E27" s="64">
        <v>0</v>
      </c>
      <c r="F27" s="64">
        <v>0</v>
      </c>
      <c r="G27" s="64">
        <v>0</v>
      </c>
      <c r="H27" s="72">
        <v>0</v>
      </c>
      <c r="I27" s="64">
        <v>0</v>
      </c>
      <c r="J27" s="64">
        <v>0</v>
      </c>
      <c r="K27" s="72">
        <v>0</v>
      </c>
      <c r="L27" s="72">
        <v>0</v>
      </c>
      <c r="M27" s="72">
        <v>0</v>
      </c>
      <c r="N27" s="64">
        <v>0</v>
      </c>
      <c r="O27" s="72">
        <v>0</v>
      </c>
      <c r="P27" s="65">
        <f t="shared" si="0"/>
        <v>0</v>
      </c>
    </row>
    <row r="28" spans="1:16" x14ac:dyDescent="0.25">
      <c r="A28" s="160"/>
      <c r="B28" s="160"/>
      <c r="C28" s="61" t="s">
        <v>144</v>
      </c>
      <c r="D28" s="72">
        <v>0</v>
      </c>
      <c r="E28" s="72">
        <v>0</v>
      </c>
      <c r="F28" s="72">
        <v>0</v>
      </c>
      <c r="G28" s="64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64">
        <v>0</v>
      </c>
      <c r="O28" s="72">
        <v>0</v>
      </c>
      <c r="P28" s="65">
        <f t="shared" si="0"/>
        <v>0</v>
      </c>
    </row>
    <row r="29" spans="1:16" x14ac:dyDescent="0.25">
      <c r="A29" s="160"/>
      <c r="B29" s="160"/>
      <c r="C29" s="61" t="s">
        <v>145</v>
      </c>
      <c r="D29" s="64">
        <v>0</v>
      </c>
      <c r="E29" s="72">
        <v>0</v>
      </c>
      <c r="F29" s="64">
        <v>0</v>
      </c>
      <c r="G29" s="64">
        <v>0</v>
      </c>
      <c r="H29" s="64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64">
        <v>0</v>
      </c>
      <c r="O29" s="72">
        <v>0</v>
      </c>
      <c r="P29" s="65">
        <f t="shared" si="0"/>
        <v>0</v>
      </c>
    </row>
    <row r="30" spans="1:16" x14ac:dyDescent="0.25">
      <c r="A30" s="157" t="s">
        <v>93</v>
      </c>
      <c r="B30" s="158"/>
      <c r="C30" s="159"/>
      <c r="D30" s="82">
        <f>(D22+D26)-(D25+D24+D23)</f>
        <v>0</v>
      </c>
      <c r="E30" s="82">
        <f t="shared" ref="E30:O30" si="5">(E22+E26)-(E25+E24+E23)</f>
        <v>0</v>
      </c>
      <c r="F30" s="82">
        <f t="shared" si="5"/>
        <v>0</v>
      </c>
      <c r="G30" s="82">
        <f t="shared" si="5"/>
        <v>0</v>
      </c>
      <c r="H30" s="82">
        <f t="shared" si="5"/>
        <v>0</v>
      </c>
      <c r="I30" s="82">
        <f t="shared" si="5"/>
        <v>0</v>
      </c>
      <c r="J30" s="82">
        <f t="shared" si="5"/>
        <v>0</v>
      </c>
      <c r="K30" s="82">
        <f t="shared" si="5"/>
        <v>0</v>
      </c>
      <c r="L30" s="82">
        <f t="shared" si="5"/>
        <v>0</v>
      </c>
      <c r="M30" s="82">
        <f t="shared" si="5"/>
        <v>0</v>
      </c>
      <c r="N30" s="82">
        <f t="shared" si="5"/>
        <v>0</v>
      </c>
      <c r="O30" s="82">
        <f t="shared" si="5"/>
        <v>0</v>
      </c>
      <c r="P30" s="66">
        <f t="shared" si="0"/>
        <v>0</v>
      </c>
    </row>
    <row r="31" spans="1:16" x14ac:dyDescent="0.25">
      <c r="A31" s="157" t="s">
        <v>148</v>
      </c>
      <c r="B31" s="158"/>
      <c r="C31" s="159"/>
      <c r="D31" s="73">
        <f>D30+D21+D16+D11+D6</f>
        <v>509618</v>
      </c>
      <c r="E31" s="73">
        <f t="shared" ref="E31:O31" si="6">E30+E21+E16+E11+E6</f>
        <v>522810</v>
      </c>
      <c r="F31" s="73">
        <f t="shared" si="6"/>
        <v>582207</v>
      </c>
      <c r="G31" s="73">
        <f t="shared" si="6"/>
        <v>526247</v>
      </c>
      <c r="H31" s="73">
        <f t="shared" si="6"/>
        <v>611584</v>
      </c>
      <c r="I31" s="73">
        <f t="shared" si="6"/>
        <v>602565</v>
      </c>
      <c r="J31" s="73">
        <f t="shared" si="6"/>
        <v>588936</v>
      </c>
      <c r="K31" s="73">
        <f t="shared" si="6"/>
        <v>519403</v>
      </c>
      <c r="L31" s="73">
        <f t="shared" si="6"/>
        <v>522112</v>
      </c>
      <c r="M31" s="73">
        <f t="shared" si="6"/>
        <v>508017</v>
      </c>
      <c r="N31" s="73">
        <f t="shared" si="6"/>
        <v>546427</v>
      </c>
      <c r="O31" s="73">
        <f t="shared" si="6"/>
        <v>552797</v>
      </c>
      <c r="P31" s="92">
        <f t="shared" si="0"/>
        <v>6592723</v>
      </c>
    </row>
  </sheetData>
  <mergeCells count="17">
    <mergeCell ref="A21:C21"/>
    <mergeCell ref="A2:A5"/>
    <mergeCell ref="B2:B5"/>
    <mergeCell ref="A6:C6"/>
    <mergeCell ref="A7:A10"/>
    <mergeCell ref="B7:B10"/>
    <mergeCell ref="A11:C11"/>
    <mergeCell ref="A12:A15"/>
    <mergeCell ref="B12:B15"/>
    <mergeCell ref="A16:C16"/>
    <mergeCell ref="A17:A20"/>
    <mergeCell ref="B17:B20"/>
    <mergeCell ref="A22:A29"/>
    <mergeCell ref="B22:B25"/>
    <mergeCell ref="B26:B29"/>
    <mergeCell ref="A30:C30"/>
    <mergeCell ref="A31:C3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7" workbookViewId="0">
      <selection activeCell="D21" sqref="D21"/>
    </sheetView>
  </sheetViews>
  <sheetFormatPr baseColWidth="10" defaultRowHeight="15" x14ac:dyDescent="0.25"/>
  <cols>
    <col min="3" max="3" width="12.85546875" customWidth="1"/>
  </cols>
  <sheetData>
    <row r="1" spans="1:16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107</v>
      </c>
      <c r="P1" s="45" t="s">
        <v>86</v>
      </c>
    </row>
    <row r="2" spans="1:16" x14ac:dyDescent="0.25">
      <c r="A2" s="143" t="s">
        <v>3</v>
      </c>
      <c r="B2" s="143" t="s">
        <v>149</v>
      </c>
      <c r="C2" s="71" t="s">
        <v>88</v>
      </c>
      <c r="D2" s="64">
        <v>54568461</v>
      </c>
      <c r="E2" s="64">
        <v>44659456</v>
      </c>
      <c r="F2" s="64">
        <v>53072616</v>
      </c>
      <c r="G2" s="64">
        <v>51392663</v>
      </c>
      <c r="H2" s="64">
        <v>55080999</v>
      </c>
      <c r="I2" s="64">
        <f>15738689+35676883+4840591</f>
        <v>56256163</v>
      </c>
      <c r="J2" s="93">
        <v>58596295</v>
      </c>
      <c r="K2" s="93">
        <v>55850922</v>
      </c>
      <c r="L2" s="64">
        <v>49823978</v>
      </c>
      <c r="M2" s="64">
        <v>53349376</v>
      </c>
      <c r="N2" s="64">
        <v>52896314</v>
      </c>
      <c r="O2" s="64">
        <v>52517495</v>
      </c>
      <c r="P2" s="65">
        <f t="shared" ref="P2:P25" si="0">SUM(D2:O2)</f>
        <v>638064738</v>
      </c>
    </row>
    <row r="3" spans="1:16" x14ac:dyDescent="0.25">
      <c r="A3" s="143"/>
      <c r="B3" s="143"/>
      <c r="C3" s="71" t="s">
        <v>89</v>
      </c>
      <c r="D3" s="64">
        <v>1952443</v>
      </c>
      <c r="E3" s="64">
        <v>1603412</v>
      </c>
      <c r="F3" s="64">
        <v>1787911</v>
      </c>
      <c r="G3" s="64">
        <v>1736529</v>
      </c>
      <c r="H3" s="64">
        <v>1844369</v>
      </c>
      <c r="I3" s="64">
        <f>503751+1129562+235516</f>
        <v>1868829</v>
      </c>
      <c r="J3" s="64">
        <v>1944679</v>
      </c>
      <c r="K3" s="64">
        <v>1870401</v>
      </c>
      <c r="L3" s="64">
        <v>1679707</v>
      </c>
      <c r="M3" s="64">
        <v>1813178</v>
      </c>
      <c r="N3" s="64">
        <v>1833001</v>
      </c>
      <c r="O3" s="64">
        <v>1819694</v>
      </c>
      <c r="P3" s="65">
        <f t="shared" si="0"/>
        <v>21754153</v>
      </c>
    </row>
    <row r="4" spans="1:16" x14ac:dyDescent="0.25">
      <c r="A4" s="143"/>
      <c r="B4" s="143"/>
      <c r="C4" s="71" t="s">
        <v>144</v>
      </c>
      <c r="D4" s="64">
        <v>300274</v>
      </c>
      <c r="E4" s="64">
        <v>96145</v>
      </c>
      <c r="F4" s="64">
        <v>175354</v>
      </c>
      <c r="G4" s="64">
        <v>205179</v>
      </c>
      <c r="H4" s="64">
        <v>138016</v>
      </c>
      <c r="I4" s="64">
        <f>67210+73753+15017</f>
        <v>155980</v>
      </c>
      <c r="J4" s="64">
        <v>198183</v>
      </c>
      <c r="K4" s="64">
        <v>115312</v>
      </c>
      <c r="L4" s="64">
        <v>86071</v>
      </c>
      <c r="M4" s="64">
        <v>103549</v>
      </c>
      <c r="N4" s="64">
        <v>165272</v>
      </c>
      <c r="O4" s="64">
        <v>113006</v>
      </c>
      <c r="P4" s="65">
        <f t="shared" si="0"/>
        <v>1852341</v>
      </c>
    </row>
    <row r="5" spans="1:16" x14ac:dyDescent="0.25">
      <c r="A5" s="143"/>
      <c r="B5" s="143"/>
      <c r="C5" s="71" t="s">
        <v>145</v>
      </c>
      <c r="D5" s="64">
        <v>52088278</v>
      </c>
      <c r="E5" s="64">
        <v>42760848</v>
      </c>
      <c r="F5" s="64">
        <v>50890204</v>
      </c>
      <c r="G5" s="64">
        <v>49255890</v>
      </c>
      <c r="H5" s="64">
        <v>52673923</v>
      </c>
      <c r="I5" s="64">
        <f>14568007+34452106+4588459</f>
        <v>53608572</v>
      </c>
      <c r="J5" s="64">
        <v>55767109</v>
      </c>
      <c r="K5" s="64">
        <v>53173895</v>
      </c>
      <c r="L5" s="64">
        <v>47374115</v>
      </c>
      <c r="M5" s="64">
        <v>50715985</v>
      </c>
      <c r="N5" s="64">
        <v>50198752</v>
      </c>
      <c r="O5" s="64">
        <v>49936891</v>
      </c>
      <c r="P5" s="65">
        <f t="shared" si="0"/>
        <v>608444462</v>
      </c>
    </row>
    <row r="6" spans="1:16" x14ac:dyDescent="0.25">
      <c r="A6" s="161" t="s">
        <v>93</v>
      </c>
      <c r="B6" s="162"/>
      <c r="C6" s="163"/>
      <c r="D6" s="66">
        <f>D2-(D3+D4+D5)</f>
        <v>227466</v>
      </c>
      <c r="E6" s="66">
        <f t="shared" ref="E6:O6" si="1">E2-(E3+E4+E5)</f>
        <v>199051</v>
      </c>
      <c r="F6" s="66">
        <f t="shared" si="1"/>
        <v>219147</v>
      </c>
      <c r="G6" s="66">
        <f t="shared" si="1"/>
        <v>195065</v>
      </c>
      <c r="H6" s="66">
        <f t="shared" si="1"/>
        <v>424691</v>
      </c>
      <c r="I6" s="66">
        <f t="shared" si="1"/>
        <v>622782</v>
      </c>
      <c r="J6" s="66">
        <f>J2-(J3+J4+J5)</f>
        <v>686324</v>
      </c>
      <c r="K6" s="66">
        <f>K2-(K3+K4+K5)</f>
        <v>691314</v>
      </c>
      <c r="L6" s="66">
        <f t="shared" si="1"/>
        <v>684085</v>
      </c>
      <c r="M6" s="66">
        <f t="shared" si="1"/>
        <v>716664</v>
      </c>
      <c r="N6" s="66">
        <f t="shared" si="1"/>
        <v>699289</v>
      </c>
      <c r="O6" s="66">
        <f t="shared" si="1"/>
        <v>647904</v>
      </c>
      <c r="P6" s="66">
        <f t="shared" si="0"/>
        <v>6013782</v>
      </c>
    </row>
    <row r="7" spans="1:16" x14ac:dyDescent="0.25">
      <c r="A7" s="143" t="s">
        <v>6</v>
      </c>
      <c r="B7" s="143" t="s">
        <v>95</v>
      </c>
      <c r="C7" s="71" t="s">
        <v>88</v>
      </c>
      <c r="D7" s="64">
        <v>26434286</v>
      </c>
      <c r="E7" s="64">
        <v>24887581</v>
      </c>
      <c r="F7" s="64">
        <v>29057045</v>
      </c>
      <c r="G7" s="64">
        <v>28823736</v>
      </c>
      <c r="H7" s="64">
        <v>30417635</v>
      </c>
      <c r="I7" s="64">
        <v>28023801</v>
      </c>
      <c r="J7" s="64">
        <v>29326718</v>
      </c>
      <c r="K7" s="64">
        <v>28800352</v>
      </c>
      <c r="L7" s="64">
        <v>28071963</v>
      </c>
      <c r="M7" s="64">
        <v>30138146</v>
      </c>
      <c r="N7" s="64">
        <v>28913153</v>
      </c>
      <c r="O7" s="64">
        <v>29433973</v>
      </c>
      <c r="P7" s="65">
        <f t="shared" si="0"/>
        <v>342328389</v>
      </c>
    </row>
    <row r="8" spans="1:16" x14ac:dyDescent="0.25">
      <c r="A8" s="143"/>
      <c r="B8" s="143"/>
      <c r="C8" s="71" t="s">
        <v>89</v>
      </c>
      <c r="D8" s="64">
        <v>998362</v>
      </c>
      <c r="E8" s="64">
        <v>953885</v>
      </c>
      <c r="F8" s="64">
        <v>1054497</v>
      </c>
      <c r="G8" s="64">
        <v>1048214</v>
      </c>
      <c r="H8" s="64">
        <v>1093994</v>
      </c>
      <c r="I8" s="64">
        <v>1005822</v>
      </c>
      <c r="J8" s="64">
        <v>1048653</v>
      </c>
      <c r="K8" s="64">
        <v>1054244</v>
      </c>
      <c r="L8" s="64">
        <v>1004859</v>
      </c>
      <c r="M8" s="64">
        <v>1099694</v>
      </c>
      <c r="N8" s="64">
        <v>1073716</v>
      </c>
      <c r="O8" s="64">
        <v>1086528</v>
      </c>
      <c r="P8" s="65">
        <f t="shared" si="0"/>
        <v>12522468</v>
      </c>
    </row>
    <row r="9" spans="1:16" x14ac:dyDescent="0.25">
      <c r="A9" s="143"/>
      <c r="B9" s="143"/>
      <c r="C9" s="71" t="s">
        <v>144</v>
      </c>
      <c r="D9" s="64">
        <v>152187</v>
      </c>
      <c r="E9" s="64">
        <v>79283</v>
      </c>
      <c r="F9" s="64">
        <v>76035</v>
      </c>
      <c r="G9" s="64">
        <v>82407</v>
      </c>
      <c r="H9" s="64">
        <v>158540</v>
      </c>
      <c r="I9" s="64">
        <v>122109</v>
      </c>
      <c r="J9" s="64">
        <v>109609</v>
      </c>
      <c r="K9" s="64">
        <v>90166</v>
      </c>
      <c r="L9" s="64">
        <v>68516</v>
      </c>
      <c r="M9" s="64">
        <v>60011</v>
      </c>
      <c r="N9" s="64">
        <v>60900</v>
      </c>
      <c r="O9" s="64">
        <v>49490</v>
      </c>
      <c r="P9" s="65">
        <f t="shared" si="0"/>
        <v>1109253</v>
      </c>
    </row>
    <row r="10" spans="1:16" x14ac:dyDescent="0.25">
      <c r="A10" s="143"/>
      <c r="B10" s="143"/>
      <c r="C10" s="71" t="s">
        <v>145</v>
      </c>
      <c r="D10" s="64">
        <v>24974227</v>
      </c>
      <c r="E10" s="64">
        <v>23559284</v>
      </c>
      <c r="F10" s="64">
        <v>27570304</v>
      </c>
      <c r="G10" s="64">
        <v>27355622</v>
      </c>
      <c r="H10" s="64">
        <v>28388550</v>
      </c>
      <c r="I10" s="64">
        <v>25862613</v>
      </c>
      <c r="J10" s="64">
        <v>27042964</v>
      </c>
      <c r="K10" s="64">
        <v>26485268</v>
      </c>
      <c r="L10" s="64">
        <v>25814349</v>
      </c>
      <c r="M10" s="64">
        <v>27712519</v>
      </c>
      <c r="N10" s="64">
        <v>26538473</v>
      </c>
      <c r="O10" s="64">
        <v>27171258</v>
      </c>
      <c r="P10" s="65">
        <f t="shared" si="0"/>
        <v>318475431</v>
      </c>
    </row>
    <row r="11" spans="1:16" x14ac:dyDescent="0.25">
      <c r="A11" s="157" t="s">
        <v>93</v>
      </c>
      <c r="B11" s="158"/>
      <c r="C11" s="159"/>
      <c r="D11" s="66">
        <f>D7-(D10+D9+D8)</f>
        <v>309510</v>
      </c>
      <c r="E11" s="66">
        <f t="shared" ref="E11:O11" si="2">E7-(E10+E9+E8)</f>
        <v>295129</v>
      </c>
      <c r="F11" s="66">
        <f t="shared" si="2"/>
        <v>356209</v>
      </c>
      <c r="G11" s="66">
        <f t="shared" si="2"/>
        <v>337493</v>
      </c>
      <c r="H11" s="66">
        <f t="shared" si="2"/>
        <v>776551</v>
      </c>
      <c r="I11" s="66">
        <f t="shared" si="2"/>
        <v>1033257</v>
      </c>
      <c r="J11" s="66">
        <f t="shared" si="2"/>
        <v>1125492</v>
      </c>
      <c r="K11" s="66">
        <f t="shared" si="2"/>
        <v>1170674</v>
      </c>
      <c r="L11" s="66">
        <f t="shared" si="2"/>
        <v>1184239</v>
      </c>
      <c r="M11" s="66">
        <f t="shared" si="2"/>
        <v>1265922</v>
      </c>
      <c r="N11" s="66">
        <f t="shared" si="2"/>
        <v>1240064</v>
      </c>
      <c r="O11" s="66">
        <f t="shared" si="2"/>
        <v>1126697</v>
      </c>
      <c r="P11" s="66">
        <f t="shared" si="0"/>
        <v>10221237</v>
      </c>
    </row>
    <row r="12" spans="1:16" x14ac:dyDescent="0.25">
      <c r="A12" s="143" t="s">
        <v>18</v>
      </c>
      <c r="B12" s="143" t="s">
        <v>95</v>
      </c>
      <c r="C12" s="71" t="s">
        <v>88</v>
      </c>
      <c r="D12" s="64">
        <v>420858</v>
      </c>
      <c r="E12" s="64">
        <v>336604</v>
      </c>
      <c r="F12" s="64">
        <v>345481</v>
      </c>
      <c r="G12" s="64">
        <v>349691</v>
      </c>
      <c r="H12" s="64">
        <v>441985</v>
      </c>
      <c r="I12" s="64">
        <v>470795</v>
      </c>
      <c r="J12" s="64">
        <v>534565</v>
      </c>
      <c r="K12" s="64">
        <v>431125</v>
      </c>
      <c r="L12" s="64">
        <v>331823</v>
      </c>
      <c r="M12" s="64">
        <v>196331</v>
      </c>
      <c r="N12" s="64">
        <v>107046</v>
      </c>
      <c r="O12" s="64">
        <v>90666</v>
      </c>
      <c r="P12" s="65">
        <f t="shared" si="0"/>
        <v>4056970</v>
      </c>
    </row>
    <row r="13" spans="1:16" x14ac:dyDescent="0.25">
      <c r="A13" s="143"/>
      <c r="B13" s="143"/>
      <c r="C13" s="71" t="s">
        <v>89</v>
      </c>
      <c r="D13" s="64">
        <v>15913</v>
      </c>
      <c r="E13" s="64">
        <v>12910</v>
      </c>
      <c r="F13" s="64">
        <v>12545</v>
      </c>
      <c r="G13" s="64">
        <v>12727</v>
      </c>
      <c r="H13" s="64">
        <v>15910</v>
      </c>
      <c r="I13" s="64">
        <v>16925</v>
      </c>
      <c r="J13" s="64">
        <v>19108</v>
      </c>
      <c r="K13" s="64">
        <v>15787</v>
      </c>
      <c r="L13" s="64">
        <v>11869</v>
      </c>
      <c r="M13" s="64">
        <v>7165</v>
      </c>
      <c r="N13" s="64">
        <v>3981</v>
      </c>
      <c r="O13" s="64">
        <v>3346</v>
      </c>
      <c r="P13" s="65">
        <f t="shared" si="0"/>
        <v>148186</v>
      </c>
    </row>
    <row r="14" spans="1:16" x14ac:dyDescent="0.25">
      <c r="A14" s="143"/>
      <c r="B14" s="143"/>
      <c r="C14" s="71" t="s">
        <v>144</v>
      </c>
      <c r="D14" s="64">
        <v>2420</v>
      </c>
      <c r="E14" s="64">
        <v>1078</v>
      </c>
      <c r="F14" s="64">
        <v>907</v>
      </c>
      <c r="G14" s="64">
        <v>999</v>
      </c>
      <c r="H14" s="64">
        <v>2348</v>
      </c>
      <c r="I14" s="64">
        <v>2139</v>
      </c>
      <c r="J14" s="64">
        <v>1975</v>
      </c>
      <c r="K14" s="64">
        <v>1382</v>
      </c>
      <c r="L14" s="64">
        <v>844</v>
      </c>
      <c r="M14" s="64">
        <v>385</v>
      </c>
      <c r="N14" s="64">
        <v>236</v>
      </c>
      <c r="O14" s="64">
        <v>153</v>
      </c>
      <c r="P14" s="65">
        <f t="shared" si="0"/>
        <v>14866</v>
      </c>
    </row>
    <row r="15" spans="1:16" x14ac:dyDescent="0.25">
      <c r="A15" s="143"/>
      <c r="B15" s="143"/>
      <c r="C15" s="71" t="s">
        <v>145</v>
      </c>
      <c r="D15" s="64">
        <v>397590</v>
      </c>
      <c r="E15" s="64">
        <v>318625</v>
      </c>
      <c r="F15" s="64">
        <v>327794</v>
      </c>
      <c r="G15" s="64">
        <v>331876</v>
      </c>
      <c r="H15" s="64">
        <v>412251</v>
      </c>
      <c r="I15" s="64">
        <v>434115</v>
      </c>
      <c r="J15" s="64">
        <v>493143</v>
      </c>
      <c r="K15" s="64">
        <v>396153</v>
      </c>
      <c r="L15" s="64">
        <v>304946</v>
      </c>
      <c r="M15" s="64">
        <v>180483</v>
      </c>
      <c r="N15" s="64">
        <v>98548</v>
      </c>
      <c r="O15" s="64">
        <v>83705</v>
      </c>
      <c r="P15" s="65">
        <f t="shared" si="0"/>
        <v>3779229</v>
      </c>
    </row>
    <row r="16" spans="1:16" x14ac:dyDescent="0.25">
      <c r="A16" s="157" t="s">
        <v>93</v>
      </c>
      <c r="B16" s="158"/>
      <c r="C16" s="159"/>
      <c r="D16" s="66">
        <f>D12-(D15+D14+D13)</f>
        <v>4935</v>
      </c>
      <c r="E16" s="66">
        <f t="shared" ref="E16:N16" si="3">E12-(E15+E14+E13)</f>
        <v>3991</v>
      </c>
      <c r="F16" s="66">
        <f t="shared" si="3"/>
        <v>4235</v>
      </c>
      <c r="G16" s="66">
        <f t="shared" si="3"/>
        <v>4089</v>
      </c>
      <c r="H16" s="66">
        <f t="shared" si="3"/>
        <v>11476</v>
      </c>
      <c r="I16" s="66">
        <f t="shared" si="3"/>
        <v>17616</v>
      </c>
      <c r="J16" s="66">
        <f t="shared" si="3"/>
        <v>20339</v>
      </c>
      <c r="K16" s="66">
        <f t="shared" si="3"/>
        <v>17803</v>
      </c>
      <c r="L16" s="66">
        <f t="shared" si="3"/>
        <v>14164</v>
      </c>
      <c r="M16" s="66">
        <f t="shared" si="3"/>
        <v>8298</v>
      </c>
      <c r="N16" s="66">
        <f t="shared" si="3"/>
        <v>4281</v>
      </c>
      <c r="O16" s="66">
        <f>O12-(O15+O14+O13)</f>
        <v>3462</v>
      </c>
      <c r="P16" s="66">
        <f t="shared" si="0"/>
        <v>114689</v>
      </c>
    </row>
    <row r="17" spans="1:16" x14ac:dyDescent="0.25">
      <c r="A17" s="143" t="s">
        <v>8</v>
      </c>
      <c r="B17" s="143" t="s">
        <v>94</v>
      </c>
      <c r="C17" s="71" t="s">
        <v>88</v>
      </c>
      <c r="D17" s="64">
        <v>2857151</v>
      </c>
      <c r="E17" s="64">
        <v>2922398</v>
      </c>
      <c r="F17" s="64">
        <v>3208793</v>
      </c>
      <c r="G17" s="64">
        <v>2767434</v>
      </c>
      <c r="H17" s="64">
        <v>1691976</v>
      </c>
      <c r="I17" s="64">
        <v>2788197</v>
      </c>
      <c r="J17" s="64">
        <v>3092036</v>
      </c>
      <c r="K17" s="64">
        <v>3762647</v>
      </c>
      <c r="L17" s="64">
        <v>3600797</v>
      </c>
      <c r="M17" s="64">
        <v>3809296</v>
      </c>
      <c r="N17" s="64">
        <v>3947931</v>
      </c>
      <c r="O17" s="64">
        <v>4175828</v>
      </c>
      <c r="P17" s="65">
        <f t="shared" si="0"/>
        <v>38624484</v>
      </c>
    </row>
    <row r="18" spans="1:16" x14ac:dyDescent="0.25">
      <c r="A18" s="143"/>
      <c r="B18" s="143"/>
      <c r="C18" s="71" t="s">
        <v>89</v>
      </c>
      <c r="D18" s="64">
        <v>100368</v>
      </c>
      <c r="E18" s="64">
        <v>102190</v>
      </c>
      <c r="F18" s="64">
        <v>104839</v>
      </c>
      <c r="G18" s="64">
        <v>90925</v>
      </c>
      <c r="H18" s="64">
        <v>55375</v>
      </c>
      <c r="I18" s="64">
        <v>89797</v>
      </c>
      <c r="J18" s="64">
        <v>100027</v>
      </c>
      <c r="K18" s="64">
        <v>122132</v>
      </c>
      <c r="L18" s="64">
        <v>119108</v>
      </c>
      <c r="M18" s="64">
        <v>126439</v>
      </c>
      <c r="N18" s="64">
        <v>134204</v>
      </c>
      <c r="O18" s="64">
        <v>142267</v>
      </c>
      <c r="P18" s="65">
        <f t="shared" si="0"/>
        <v>1287671</v>
      </c>
    </row>
    <row r="19" spans="1:16" x14ac:dyDescent="0.25">
      <c r="A19" s="143"/>
      <c r="B19" s="143"/>
      <c r="C19" s="71" t="s">
        <v>144</v>
      </c>
      <c r="D19" s="64">
        <v>15195</v>
      </c>
      <c r="E19" s="64">
        <v>4731</v>
      </c>
      <c r="F19" s="64">
        <v>11976</v>
      </c>
      <c r="G19" s="64">
        <v>12552</v>
      </c>
      <c r="H19" s="64">
        <v>2314</v>
      </c>
      <c r="I19" s="64">
        <v>6431</v>
      </c>
      <c r="J19" s="64">
        <v>9543</v>
      </c>
      <c r="K19" s="64">
        <v>5618</v>
      </c>
      <c r="L19" s="64">
        <v>4705</v>
      </c>
      <c r="M19" s="64">
        <v>6838</v>
      </c>
      <c r="N19" s="64">
        <v>14600</v>
      </c>
      <c r="O19" s="64">
        <v>10817</v>
      </c>
      <c r="P19" s="65">
        <f t="shared" si="0"/>
        <v>105320</v>
      </c>
    </row>
    <row r="20" spans="1:16" x14ac:dyDescent="0.25">
      <c r="A20" s="143"/>
      <c r="B20" s="143"/>
      <c r="C20" s="71" t="s">
        <v>145</v>
      </c>
      <c r="D20" s="64">
        <v>2741588</v>
      </c>
      <c r="E20" s="64">
        <v>2815478</v>
      </c>
      <c r="F20" s="64">
        <v>3091979</v>
      </c>
      <c r="G20" s="64">
        <v>2663957</v>
      </c>
      <c r="H20" s="64">
        <v>1634287</v>
      </c>
      <c r="I20" s="64">
        <v>2691969</v>
      </c>
      <c r="J20" s="64">
        <v>2982466</v>
      </c>
      <c r="K20" s="64">
        <v>3634897</v>
      </c>
      <c r="L20" s="64">
        <v>3476984</v>
      </c>
      <c r="M20" s="64">
        <v>3676019</v>
      </c>
      <c r="N20" s="64">
        <v>3799127</v>
      </c>
      <c r="O20" s="64">
        <v>4022743</v>
      </c>
      <c r="P20" s="65">
        <f t="shared" si="0"/>
        <v>37231494</v>
      </c>
    </row>
    <row r="21" spans="1:16" x14ac:dyDescent="0.25">
      <c r="A21" s="157" t="s">
        <v>93</v>
      </c>
      <c r="B21" s="158"/>
      <c r="C21" s="159"/>
      <c r="D21" s="82">
        <f>D17-(D20+D19+D18)</f>
        <v>0</v>
      </c>
      <c r="E21" s="82">
        <v>0</v>
      </c>
      <c r="F21" s="82">
        <v>0</v>
      </c>
      <c r="G21" s="82">
        <f t="shared" ref="G21:N21" si="4">G17-(G20+G19+G18)</f>
        <v>0</v>
      </c>
      <c r="H21" s="82">
        <f t="shared" si="4"/>
        <v>0</v>
      </c>
      <c r="I21" s="82">
        <f t="shared" si="4"/>
        <v>0</v>
      </c>
      <c r="J21" s="82">
        <f t="shared" si="4"/>
        <v>0</v>
      </c>
      <c r="K21" s="82">
        <f t="shared" si="4"/>
        <v>0</v>
      </c>
      <c r="L21" s="82">
        <f t="shared" si="4"/>
        <v>0</v>
      </c>
      <c r="M21" s="82">
        <f t="shared" si="4"/>
        <v>0</v>
      </c>
      <c r="N21" s="82">
        <f t="shared" si="4"/>
        <v>0</v>
      </c>
      <c r="O21" s="82">
        <v>0</v>
      </c>
      <c r="P21" s="66">
        <f t="shared" si="0"/>
        <v>0</v>
      </c>
    </row>
    <row r="22" spans="1:16" x14ac:dyDescent="0.25">
      <c r="A22" s="143" t="s">
        <v>12</v>
      </c>
      <c r="B22" s="143" t="s">
        <v>150</v>
      </c>
      <c r="C22" s="71" t="s">
        <v>88</v>
      </c>
      <c r="D22" s="72">
        <v>1257500</v>
      </c>
      <c r="E22" s="72">
        <v>1049860</v>
      </c>
      <c r="F22" s="64">
        <v>1285690</v>
      </c>
      <c r="G22" s="72">
        <v>1239580</v>
      </c>
      <c r="H22" s="64">
        <v>1051798</v>
      </c>
      <c r="I22" s="64">
        <f>1714930+387323</f>
        <v>2102253</v>
      </c>
      <c r="J22" s="64">
        <v>491111</v>
      </c>
      <c r="K22" s="64">
        <v>2281078</v>
      </c>
      <c r="L22" s="64">
        <v>2193443</v>
      </c>
      <c r="M22" s="64">
        <v>2478310</v>
      </c>
      <c r="N22" s="64">
        <v>2372173</v>
      </c>
      <c r="O22" s="64">
        <v>2494058</v>
      </c>
      <c r="P22" s="65">
        <f t="shared" si="0"/>
        <v>20296854</v>
      </c>
    </row>
    <row r="23" spans="1:16" x14ac:dyDescent="0.25">
      <c r="A23" s="143"/>
      <c r="B23" s="143"/>
      <c r="C23" s="71" t="s">
        <v>89</v>
      </c>
      <c r="D23" s="64">
        <v>55200</v>
      </c>
      <c r="E23" s="64">
        <v>47850</v>
      </c>
      <c r="F23" s="64">
        <v>55210</v>
      </c>
      <c r="G23" s="72">
        <v>53910</v>
      </c>
      <c r="H23" s="64">
        <v>40430</v>
      </c>
      <c r="I23" s="64">
        <f>62708+13852</f>
        <v>76560</v>
      </c>
      <c r="J23" s="64">
        <v>19333</v>
      </c>
      <c r="K23" s="64">
        <v>96729</v>
      </c>
      <c r="L23" s="64">
        <v>91913</v>
      </c>
      <c r="M23" s="64">
        <v>101744</v>
      </c>
      <c r="N23" s="72">
        <v>98602</v>
      </c>
      <c r="O23" s="72">
        <v>103265</v>
      </c>
      <c r="P23" s="65">
        <f t="shared" si="0"/>
        <v>840746</v>
      </c>
    </row>
    <row r="24" spans="1:16" x14ac:dyDescent="0.25">
      <c r="A24" s="143"/>
      <c r="B24" s="143"/>
      <c r="C24" s="71" t="s">
        <v>144</v>
      </c>
      <c r="D24" s="64">
        <v>11340</v>
      </c>
      <c r="E24" s="64">
        <v>15200</v>
      </c>
      <c r="F24" s="64">
        <v>20520</v>
      </c>
      <c r="G24" s="72">
        <v>12220</v>
      </c>
      <c r="H24" s="64">
        <v>153358</v>
      </c>
      <c r="I24" s="64">
        <f>123881+24782</f>
        <v>148663</v>
      </c>
      <c r="J24" s="64">
        <v>10364</v>
      </c>
      <c r="K24" s="64">
        <v>24925</v>
      </c>
      <c r="L24" s="64">
        <v>22390</v>
      </c>
      <c r="M24" s="64">
        <v>21846</v>
      </c>
      <c r="N24" s="72">
        <v>22354</v>
      </c>
      <c r="O24" s="72">
        <v>27840</v>
      </c>
      <c r="P24" s="65">
        <f t="shared" si="0"/>
        <v>491020</v>
      </c>
    </row>
    <row r="25" spans="1:16" x14ac:dyDescent="0.25">
      <c r="A25" s="143"/>
      <c r="B25" s="143"/>
      <c r="C25" s="71" t="s">
        <v>145</v>
      </c>
      <c r="D25" s="64">
        <v>1190960</v>
      </c>
      <c r="E25" s="64">
        <v>1190960</v>
      </c>
      <c r="F25" s="64">
        <v>1209960</v>
      </c>
      <c r="G25" s="64">
        <v>1173450</v>
      </c>
      <c r="H25" s="64">
        <v>858010</v>
      </c>
      <c r="I25" s="64">
        <f>1528341+348689</f>
        <v>1877030</v>
      </c>
      <c r="J25" s="72">
        <v>461414</v>
      </c>
      <c r="K25" s="64">
        <v>2159424</v>
      </c>
      <c r="L25" s="64">
        <v>2079140</v>
      </c>
      <c r="M25" s="64">
        <v>2354720</v>
      </c>
      <c r="N25" s="64">
        <v>2251217</v>
      </c>
      <c r="O25" s="64">
        <v>2362953</v>
      </c>
      <c r="P25" s="65">
        <f t="shared" si="0"/>
        <v>19169238</v>
      </c>
    </row>
    <row r="26" spans="1:16" x14ac:dyDescent="0.25">
      <c r="A26" s="157" t="s">
        <v>93</v>
      </c>
      <c r="B26" s="158"/>
      <c r="C26" s="159"/>
      <c r="D26" s="72">
        <f>D22-(D23+D24+D25)</f>
        <v>0</v>
      </c>
      <c r="E26" s="94">
        <v>-204150</v>
      </c>
      <c r="F26" s="82">
        <f t="shared" ref="F26:O26" si="5">F22-(F23+F24+F25)</f>
        <v>0</v>
      </c>
      <c r="G26" s="82">
        <f t="shared" si="5"/>
        <v>0</v>
      </c>
      <c r="H26" s="82">
        <f t="shared" si="5"/>
        <v>0</v>
      </c>
      <c r="I26" s="82">
        <f t="shared" si="5"/>
        <v>0</v>
      </c>
      <c r="J26" s="82">
        <f t="shared" si="5"/>
        <v>0</v>
      </c>
      <c r="K26" s="82">
        <f t="shared" si="5"/>
        <v>0</v>
      </c>
      <c r="L26" s="82">
        <f t="shared" si="5"/>
        <v>0</v>
      </c>
      <c r="M26" s="82">
        <f t="shared" si="5"/>
        <v>0</v>
      </c>
      <c r="N26" s="82">
        <f t="shared" si="5"/>
        <v>0</v>
      </c>
      <c r="O26" s="82">
        <f t="shared" si="5"/>
        <v>0</v>
      </c>
      <c r="P26" s="66">
        <v>0</v>
      </c>
    </row>
    <row r="27" spans="1:16" x14ac:dyDescent="0.25">
      <c r="A27" s="145" t="s">
        <v>148</v>
      </c>
      <c r="B27" s="146"/>
      <c r="C27" s="147"/>
      <c r="D27" s="73">
        <f>D26+D21+D16+D11+D6</f>
        <v>541911</v>
      </c>
      <c r="E27" s="73">
        <f>E21+E16+E11+E6</f>
        <v>498171</v>
      </c>
      <c r="F27" s="73">
        <f>F26+F21+F16+F11+F6</f>
        <v>579591</v>
      </c>
      <c r="G27" s="73">
        <f>G26+G21+G16+G11+G6</f>
        <v>536647</v>
      </c>
      <c r="H27" s="73">
        <f>H26+H21+H16+H11+H6</f>
        <v>1212718</v>
      </c>
      <c r="I27" s="73">
        <f>I26+I21+I16+I11+I6</f>
        <v>1673655</v>
      </c>
      <c r="J27" s="73">
        <f t="shared" ref="J27:O27" si="6">J26+J21+J16+J11+J6</f>
        <v>1832155</v>
      </c>
      <c r="K27" s="73">
        <f t="shared" si="6"/>
        <v>1879791</v>
      </c>
      <c r="L27" s="73">
        <f t="shared" si="6"/>
        <v>1882488</v>
      </c>
      <c r="M27" s="73">
        <f t="shared" si="6"/>
        <v>1990884</v>
      </c>
      <c r="N27" s="73">
        <f t="shared" si="6"/>
        <v>1943634</v>
      </c>
      <c r="O27" s="73">
        <f t="shared" si="6"/>
        <v>1778063</v>
      </c>
      <c r="P27" s="92">
        <f>SUM(D27:O27)</f>
        <v>16349708</v>
      </c>
    </row>
  </sheetData>
  <mergeCells count="16">
    <mergeCell ref="A11:C11"/>
    <mergeCell ref="A2:A5"/>
    <mergeCell ref="B2:B5"/>
    <mergeCell ref="A6:C6"/>
    <mergeCell ref="A7:A10"/>
    <mergeCell ref="B7:B10"/>
    <mergeCell ref="A22:A25"/>
    <mergeCell ref="B22:B25"/>
    <mergeCell ref="A26:C26"/>
    <mergeCell ref="A27:C27"/>
    <mergeCell ref="A12:A15"/>
    <mergeCell ref="B12:B15"/>
    <mergeCell ref="A16:C16"/>
    <mergeCell ref="A17:A20"/>
    <mergeCell ref="B17:B20"/>
    <mergeCell ref="A21:C2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10" workbookViewId="0">
      <selection activeCell="D14" sqref="D14"/>
    </sheetView>
  </sheetViews>
  <sheetFormatPr baseColWidth="10" defaultRowHeight="15" x14ac:dyDescent="0.25"/>
  <cols>
    <col min="3" max="3" width="12.85546875" customWidth="1"/>
  </cols>
  <sheetData>
    <row r="1" spans="1:16" x14ac:dyDescent="0.25">
      <c r="A1" s="45" t="s">
        <v>0</v>
      </c>
      <c r="B1" s="45" t="s">
        <v>72</v>
      </c>
      <c r="C1" s="45" t="s">
        <v>73</v>
      </c>
      <c r="D1" s="45" t="s">
        <v>74</v>
      </c>
      <c r="E1" s="45" t="s">
        <v>75</v>
      </c>
      <c r="F1" s="45" t="s">
        <v>76</v>
      </c>
      <c r="G1" s="45" t="s">
        <v>77</v>
      </c>
      <c r="H1" s="45" t="s">
        <v>78</v>
      </c>
      <c r="I1" s="45" t="s">
        <v>79</v>
      </c>
      <c r="J1" s="45" t="s">
        <v>80</v>
      </c>
      <c r="K1" s="45" t="s">
        <v>81</v>
      </c>
      <c r="L1" s="79" t="s">
        <v>82</v>
      </c>
      <c r="M1" s="45" t="s">
        <v>83</v>
      </c>
      <c r="N1" s="45" t="s">
        <v>84</v>
      </c>
      <c r="O1" s="45" t="s">
        <v>107</v>
      </c>
      <c r="P1" s="45" t="s">
        <v>86</v>
      </c>
    </row>
    <row r="2" spans="1:16" x14ac:dyDescent="0.25">
      <c r="A2" s="143" t="s">
        <v>3</v>
      </c>
      <c r="B2" s="143" t="s">
        <v>149</v>
      </c>
      <c r="C2" s="71" t="s">
        <v>88</v>
      </c>
      <c r="D2" s="64">
        <v>56060624</v>
      </c>
      <c r="E2" s="64">
        <v>52129276</v>
      </c>
      <c r="F2" s="64">
        <v>54593909</v>
      </c>
      <c r="G2" s="64">
        <v>52520194</v>
      </c>
      <c r="H2" s="64">
        <v>54311488</v>
      </c>
      <c r="I2" s="64">
        <v>52520656</v>
      </c>
      <c r="J2" s="95">
        <v>54158141</v>
      </c>
      <c r="K2" s="95">
        <v>54823865</v>
      </c>
      <c r="L2" s="64">
        <v>52983158</v>
      </c>
      <c r="M2" s="64">
        <v>54284227</v>
      </c>
      <c r="N2" s="64">
        <v>48992246</v>
      </c>
      <c r="O2" s="64">
        <v>53413851</v>
      </c>
      <c r="P2" s="65">
        <f t="shared" ref="P2:P27" si="0">SUM(D2:O2)</f>
        <v>640791635</v>
      </c>
    </row>
    <row r="3" spans="1:16" x14ac:dyDescent="0.25">
      <c r="A3" s="143"/>
      <c r="B3" s="143"/>
      <c r="C3" s="71" t="s">
        <v>89</v>
      </c>
      <c r="D3" s="64">
        <v>1940584</v>
      </c>
      <c r="E3" s="64">
        <v>1811136</v>
      </c>
      <c r="F3" s="64">
        <v>1811440</v>
      </c>
      <c r="G3" s="64">
        <v>1725787</v>
      </c>
      <c r="H3" s="64">
        <v>1819762</v>
      </c>
      <c r="I3" s="64">
        <v>1753284</v>
      </c>
      <c r="J3" s="64">
        <v>1774261</v>
      </c>
      <c r="K3" s="64">
        <v>1788062</v>
      </c>
      <c r="L3" s="64">
        <v>1736311</v>
      </c>
      <c r="M3" s="64">
        <v>1773967</v>
      </c>
      <c r="N3" s="64">
        <v>1621434</v>
      </c>
      <c r="O3" s="64">
        <v>1767778</v>
      </c>
      <c r="P3" s="65">
        <f t="shared" si="0"/>
        <v>21323806</v>
      </c>
    </row>
    <row r="4" spans="1:16" x14ac:dyDescent="0.25">
      <c r="A4" s="143"/>
      <c r="B4" s="143"/>
      <c r="C4" s="71" t="s">
        <v>144</v>
      </c>
      <c r="D4" s="64">
        <v>131109</v>
      </c>
      <c r="E4" s="64">
        <v>124434</v>
      </c>
      <c r="F4" s="64">
        <v>196291</v>
      </c>
      <c r="G4" s="64">
        <v>70588</v>
      </c>
      <c r="H4" s="64">
        <v>75989</v>
      </c>
      <c r="I4" s="64">
        <v>59603</v>
      </c>
      <c r="J4" s="64">
        <v>89471</v>
      </c>
      <c r="K4" s="64">
        <v>75276</v>
      </c>
      <c r="L4" s="64">
        <v>159083</v>
      </c>
      <c r="M4" s="64">
        <v>119658</v>
      </c>
      <c r="N4" s="64">
        <v>174816</v>
      </c>
      <c r="O4" s="64">
        <v>137648</v>
      </c>
      <c r="P4" s="65">
        <f t="shared" si="0"/>
        <v>1413966</v>
      </c>
    </row>
    <row r="5" spans="1:16" x14ac:dyDescent="0.25">
      <c r="A5" s="143"/>
      <c r="B5" s="143"/>
      <c r="C5" s="71" t="s">
        <v>145</v>
      </c>
      <c r="D5" s="64">
        <v>53242392</v>
      </c>
      <c r="E5" s="64">
        <v>49420153</v>
      </c>
      <c r="F5" s="64">
        <v>51809646</v>
      </c>
      <c r="G5" s="64">
        <v>50007951</v>
      </c>
      <c r="H5" s="64">
        <v>51641898</v>
      </c>
      <c r="I5" s="64">
        <v>49915161</v>
      </c>
      <c r="J5" s="64">
        <v>51485403</v>
      </c>
      <c r="K5" s="64">
        <v>52036306</v>
      </c>
      <c r="L5" s="64">
        <v>50162348</v>
      </c>
      <c r="M5" s="64">
        <v>51507461</v>
      </c>
      <c r="N5" s="64">
        <v>46300521</v>
      </c>
      <c r="O5" s="64">
        <v>50642521</v>
      </c>
      <c r="P5" s="65">
        <f t="shared" si="0"/>
        <v>608171761</v>
      </c>
    </row>
    <row r="6" spans="1:16" x14ac:dyDescent="0.25">
      <c r="A6" s="161" t="s">
        <v>93</v>
      </c>
      <c r="B6" s="162"/>
      <c r="C6" s="163"/>
      <c r="D6" s="66">
        <f>D2-(D3+D4+D5)</f>
        <v>746539</v>
      </c>
      <c r="E6" s="66">
        <f>E2-(E3+E4+E5)</f>
        <v>773553</v>
      </c>
      <c r="F6" s="66">
        <f t="shared" ref="F6:O6" si="1">F2-(F3+F4+F5)</f>
        <v>776532</v>
      </c>
      <c r="G6" s="66">
        <f t="shared" si="1"/>
        <v>715868</v>
      </c>
      <c r="H6" s="66">
        <f t="shared" si="1"/>
        <v>773839</v>
      </c>
      <c r="I6" s="66">
        <f>I2-(I3+I4+I5)</f>
        <v>792608</v>
      </c>
      <c r="J6" s="66">
        <f>J2-(J3+J4+J5)</f>
        <v>809006</v>
      </c>
      <c r="K6" s="66">
        <f>K2-(K3+K4+K5)</f>
        <v>924221</v>
      </c>
      <c r="L6" s="66">
        <f t="shared" si="1"/>
        <v>925416</v>
      </c>
      <c r="M6" s="66">
        <f t="shared" si="1"/>
        <v>883141</v>
      </c>
      <c r="N6" s="66">
        <f t="shared" si="1"/>
        <v>895475</v>
      </c>
      <c r="O6" s="66">
        <f t="shared" si="1"/>
        <v>865904</v>
      </c>
      <c r="P6" s="66">
        <f t="shared" si="0"/>
        <v>9882102</v>
      </c>
    </row>
    <row r="7" spans="1:16" x14ac:dyDescent="0.25">
      <c r="A7" s="143" t="s">
        <v>6</v>
      </c>
      <c r="B7" s="143" t="s">
        <v>108</v>
      </c>
      <c r="C7" s="71" t="s">
        <v>88</v>
      </c>
      <c r="D7" s="64">
        <v>27386378</v>
      </c>
      <c r="E7" s="64">
        <v>25517800</v>
      </c>
      <c r="F7" s="64">
        <v>29897333</v>
      </c>
      <c r="G7" s="64">
        <v>29781339</v>
      </c>
      <c r="H7" s="64">
        <v>29877615</v>
      </c>
      <c r="I7" s="64">
        <v>29080017</v>
      </c>
      <c r="J7" s="64">
        <v>29577839</v>
      </c>
      <c r="K7" s="64">
        <v>29017369</v>
      </c>
      <c r="L7" s="64">
        <v>28007656</v>
      </c>
      <c r="M7" s="64">
        <v>30238339</v>
      </c>
      <c r="N7" s="64">
        <v>20859025</v>
      </c>
      <c r="O7" s="64">
        <v>30143493</v>
      </c>
      <c r="P7" s="65">
        <f t="shared" si="0"/>
        <v>339384203</v>
      </c>
    </row>
    <row r="8" spans="1:16" x14ac:dyDescent="0.25">
      <c r="A8" s="143"/>
      <c r="B8" s="143"/>
      <c r="C8" s="71" t="s">
        <v>89</v>
      </c>
      <c r="D8" s="64">
        <v>1017204</v>
      </c>
      <c r="E8" s="64">
        <v>929882</v>
      </c>
      <c r="F8" s="64">
        <v>1071939</v>
      </c>
      <c r="G8" s="64">
        <v>1002414</v>
      </c>
      <c r="H8" s="64">
        <v>1036113</v>
      </c>
      <c r="I8" s="64">
        <v>994285</v>
      </c>
      <c r="J8" s="64">
        <v>973837</v>
      </c>
      <c r="K8" s="64">
        <v>949364</v>
      </c>
      <c r="L8" s="64">
        <v>935128</v>
      </c>
      <c r="M8" s="64">
        <v>1005367</v>
      </c>
      <c r="N8" s="64">
        <v>695733</v>
      </c>
      <c r="O8" s="64">
        <v>1016330</v>
      </c>
      <c r="P8" s="65">
        <f t="shared" si="0"/>
        <v>11627596</v>
      </c>
    </row>
    <row r="9" spans="1:16" x14ac:dyDescent="0.25">
      <c r="A9" s="143"/>
      <c r="B9" s="143"/>
      <c r="C9" s="71" t="s">
        <v>144</v>
      </c>
      <c r="D9" s="64">
        <v>57182</v>
      </c>
      <c r="E9" s="64">
        <v>50136</v>
      </c>
      <c r="F9" s="64">
        <v>50608</v>
      </c>
      <c r="G9" s="64">
        <v>49659</v>
      </c>
      <c r="H9" s="64">
        <v>70472</v>
      </c>
      <c r="I9" s="64">
        <v>46381</v>
      </c>
      <c r="J9" s="64">
        <v>47745</v>
      </c>
      <c r="K9" s="64">
        <v>59760</v>
      </c>
      <c r="L9" s="64">
        <v>50617</v>
      </c>
      <c r="M9" s="64">
        <v>54105</v>
      </c>
      <c r="N9" s="64">
        <v>118989</v>
      </c>
      <c r="O9" s="64">
        <v>66069</v>
      </c>
      <c r="P9" s="65">
        <f t="shared" si="0"/>
        <v>721723</v>
      </c>
    </row>
    <row r="10" spans="1:16" x14ac:dyDescent="0.25">
      <c r="A10" s="143"/>
      <c r="B10" s="143"/>
      <c r="C10" s="71" t="s">
        <v>145</v>
      </c>
      <c r="D10" s="64">
        <v>25128993</v>
      </c>
      <c r="E10" s="64">
        <v>23350189</v>
      </c>
      <c r="F10" s="64">
        <v>27422686</v>
      </c>
      <c r="G10" s="64">
        <v>27423673</v>
      </c>
      <c r="H10" s="64">
        <v>27453271</v>
      </c>
      <c r="I10" s="64">
        <v>26683070</v>
      </c>
      <c r="J10" s="64">
        <v>27251713</v>
      </c>
      <c r="K10" s="64">
        <v>26579399</v>
      </c>
      <c r="L10" s="64">
        <v>25597349</v>
      </c>
      <c r="M10" s="64">
        <v>27616883</v>
      </c>
      <c r="N10" s="64">
        <v>18723047</v>
      </c>
      <c r="O10" s="64">
        <v>27484999</v>
      </c>
      <c r="P10" s="65">
        <f t="shared" si="0"/>
        <v>310715272</v>
      </c>
    </row>
    <row r="11" spans="1:16" x14ac:dyDescent="0.25">
      <c r="A11" s="157" t="s">
        <v>93</v>
      </c>
      <c r="B11" s="158"/>
      <c r="C11" s="159"/>
      <c r="D11" s="66">
        <f>D7-(D10+D9+D8)</f>
        <v>1182999</v>
      </c>
      <c r="E11" s="66">
        <f t="shared" ref="E11:O11" si="2">E7-(E10+E9+E8)</f>
        <v>1187593</v>
      </c>
      <c r="F11" s="66">
        <f t="shared" si="2"/>
        <v>1352100</v>
      </c>
      <c r="G11" s="66">
        <f t="shared" si="2"/>
        <v>1305593</v>
      </c>
      <c r="H11" s="66">
        <f t="shared" si="2"/>
        <v>1317759</v>
      </c>
      <c r="I11" s="66">
        <f t="shared" si="2"/>
        <v>1356281</v>
      </c>
      <c r="J11" s="66">
        <f t="shared" si="2"/>
        <v>1304544</v>
      </c>
      <c r="K11" s="66">
        <f t="shared" si="2"/>
        <v>1428846</v>
      </c>
      <c r="L11" s="66">
        <f t="shared" si="2"/>
        <v>1424562</v>
      </c>
      <c r="M11" s="66">
        <f t="shared" si="2"/>
        <v>1561984</v>
      </c>
      <c r="N11" s="66">
        <f t="shared" si="2"/>
        <v>1321256</v>
      </c>
      <c r="O11" s="66">
        <f t="shared" si="2"/>
        <v>1576095</v>
      </c>
      <c r="P11" s="66">
        <f t="shared" si="0"/>
        <v>16319612</v>
      </c>
    </row>
    <row r="12" spans="1:16" x14ac:dyDescent="0.25">
      <c r="A12" s="143" t="s">
        <v>18</v>
      </c>
      <c r="B12" s="143" t="s">
        <v>95</v>
      </c>
      <c r="C12" s="71" t="s">
        <v>88</v>
      </c>
      <c r="D12" s="64">
        <v>89914</v>
      </c>
      <c r="E12" s="68">
        <v>83476</v>
      </c>
      <c r="F12" s="64">
        <v>86560</v>
      </c>
      <c r="G12" s="64">
        <v>86218</v>
      </c>
      <c r="H12" s="64">
        <v>85898</v>
      </c>
      <c r="I12" s="64">
        <v>74922</v>
      </c>
      <c r="J12" s="64">
        <v>74455</v>
      </c>
      <c r="K12" s="64">
        <v>69120</v>
      </c>
      <c r="L12" s="64">
        <v>58320</v>
      </c>
      <c r="M12" s="64">
        <v>51071</v>
      </c>
      <c r="N12" s="64">
        <v>52404</v>
      </c>
      <c r="O12" s="64">
        <v>48465</v>
      </c>
      <c r="P12" s="65">
        <f t="shared" si="0"/>
        <v>860823</v>
      </c>
    </row>
    <row r="13" spans="1:16" x14ac:dyDescent="0.25">
      <c r="A13" s="143"/>
      <c r="B13" s="143"/>
      <c r="C13" s="71" t="s">
        <v>89</v>
      </c>
      <c r="D13" s="64">
        <v>3345</v>
      </c>
      <c r="E13" s="68">
        <v>3047</v>
      </c>
      <c r="F13" s="64">
        <v>3104</v>
      </c>
      <c r="G13" s="64">
        <v>2901</v>
      </c>
      <c r="H13" s="64">
        <v>2978</v>
      </c>
      <c r="I13" s="64">
        <v>2562</v>
      </c>
      <c r="J13" s="64">
        <v>2453</v>
      </c>
      <c r="K13" s="64">
        <v>2261</v>
      </c>
      <c r="L13" s="64">
        <v>1947</v>
      </c>
      <c r="M13" s="64">
        <v>1698</v>
      </c>
      <c r="N13" s="64">
        <v>1737</v>
      </c>
      <c r="O13" s="64">
        <v>1638</v>
      </c>
      <c r="P13" s="65">
        <f t="shared" si="0"/>
        <v>29671</v>
      </c>
    </row>
    <row r="14" spans="1:16" x14ac:dyDescent="0.25">
      <c r="A14" s="143"/>
      <c r="B14" s="143"/>
      <c r="C14" s="71" t="s">
        <v>144</v>
      </c>
      <c r="D14" s="64">
        <v>189</v>
      </c>
      <c r="E14" s="68">
        <v>169</v>
      </c>
      <c r="F14" s="64">
        <v>147</v>
      </c>
      <c r="G14" s="64">
        <v>144</v>
      </c>
      <c r="H14" s="64">
        <v>204</v>
      </c>
      <c r="I14" s="64">
        <v>120</v>
      </c>
      <c r="J14" s="64">
        <v>121</v>
      </c>
      <c r="K14" s="64">
        <v>142</v>
      </c>
      <c r="L14" s="64">
        <v>106</v>
      </c>
      <c r="M14" s="64">
        <v>91</v>
      </c>
      <c r="N14" s="64">
        <v>384</v>
      </c>
      <c r="O14" s="64">
        <v>110</v>
      </c>
      <c r="P14" s="65">
        <f t="shared" si="0"/>
        <v>1927</v>
      </c>
    </row>
    <row r="15" spans="1:16" x14ac:dyDescent="0.25">
      <c r="A15" s="143"/>
      <c r="B15" s="143"/>
      <c r="C15" s="71" t="s">
        <v>145</v>
      </c>
      <c r="D15" s="64">
        <v>82445</v>
      </c>
      <c r="E15" s="68">
        <v>76323</v>
      </c>
      <c r="F15" s="64">
        <v>79392</v>
      </c>
      <c r="G15" s="64">
        <v>79412</v>
      </c>
      <c r="H15" s="64">
        <v>78937</v>
      </c>
      <c r="I15" s="64">
        <v>68746</v>
      </c>
      <c r="J15" s="64">
        <v>68620</v>
      </c>
      <c r="K15" s="64">
        <v>63315</v>
      </c>
      <c r="L15" s="64">
        <v>53299</v>
      </c>
      <c r="M15" s="64">
        <v>46650</v>
      </c>
      <c r="N15" s="64">
        <v>46974</v>
      </c>
      <c r="O15" s="64">
        <v>44162</v>
      </c>
      <c r="P15" s="65">
        <f t="shared" si="0"/>
        <v>788275</v>
      </c>
    </row>
    <row r="16" spans="1:16" x14ac:dyDescent="0.25">
      <c r="A16" s="157" t="s">
        <v>93</v>
      </c>
      <c r="B16" s="158"/>
      <c r="C16" s="159"/>
      <c r="D16" s="66">
        <f>D12-(D15+D14+D13)</f>
        <v>3935</v>
      </c>
      <c r="E16" s="66">
        <f t="shared" ref="E16:O16" si="3">E12-(E15+E14+E13)</f>
        <v>3937</v>
      </c>
      <c r="F16" s="66">
        <f t="shared" si="3"/>
        <v>3917</v>
      </c>
      <c r="G16" s="66">
        <f t="shared" si="3"/>
        <v>3761</v>
      </c>
      <c r="H16" s="66">
        <f t="shared" si="3"/>
        <v>3779</v>
      </c>
      <c r="I16" s="66">
        <f t="shared" si="3"/>
        <v>3494</v>
      </c>
      <c r="J16" s="66">
        <f t="shared" si="3"/>
        <v>3261</v>
      </c>
      <c r="K16" s="66">
        <f t="shared" si="3"/>
        <v>3402</v>
      </c>
      <c r="L16" s="66">
        <f t="shared" si="3"/>
        <v>2968</v>
      </c>
      <c r="M16" s="66">
        <f t="shared" si="3"/>
        <v>2632</v>
      </c>
      <c r="N16" s="66">
        <f t="shared" si="3"/>
        <v>3309</v>
      </c>
      <c r="O16" s="66">
        <f t="shared" si="3"/>
        <v>2555</v>
      </c>
      <c r="P16" s="66">
        <f t="shared" si="0"/>
        <v>40950</v>
      </c>
    </row>
    <row r="17" spans="1:16" x14ac:dyDescent="0.25">
      <c r="A17" s="143" t="s">
        <v>8</v>
      </c>
      <c r="B17" s="143" t="s">
        <v>94</v>
      </c>
      <c r="C17" s="71" t="s">
        <v>88</v>
      </c>
      <c r="D17" s="64">
        <f>4367600</f>
        <v>4367600</v>
      </c>
      <c r="E17" s="64">
        <v>4051584</v>
      </c>
      <c r="F17" s="64">
        <v>5420322</v>
      </c>
      <c r="G17" s="64">
        <v>6344208</v>
      </c>
      <c r="H17" s="64">
        <v>6572189</v>
      </c>
      <c r="I17" s="64">
        <v>6231078</v>
      </c>
      <c r="J17" s="64">
        <v>6422950</v>
      </c>
      <c r="K17" s="64">
        <v>6028216</v>
      </c>
      <c r="L17" s="64">
        <v>6027206</v>
      </c>
      <c r="M17" s="64">
        <v>5998350</v>
      </c>
      <c r="N17" s="64">
        <v>6224824</v>
      </c>
      <c r="O17" s="64">
        <v>6312270</v>
      </c>
      <c r="P17" s="65">
        <f t="shared" si="0"/>
        <v>70000797</v>
      </c>
    </row>
    <row r="18" spans="1:16" x14ac:dyDescent="0.25">
      <c r="A18" s="143"/>
      <c r="B18" s="143"/>
      <c r="C18" s="71" t="s">
        <v>89</v>
      </c>
      <c r="D18" s="64">
        <f>147897</f>
        <v>147897</v>
      </c>
      <c r="E18" s="64">
        <v>139324</v>
      </c>
      <c r="F18" s="64">
        <v>175544</v>
      </c>
      <c r="G18" s="64">
        <v>207938</v>
      </c>
      <c r="H18" s="64">
        <v>216901</v>
      </c>
      <c r="I18" s="64">
        <v>205900</v>
      </c>
      <c r="J18" s="64">
        <v>211271</v>
      </c>
      <c r="K18" s="64">
        <v>197639</v>
      </c>
      <c r="L18" s="64">
        <v>197043</v>
      </c>
      <c r="M18" s="64">
        <v>196367</v>
      </c>
      <c r="N18" s="64">
        <v>207680</v>
      </c>
      <c r="O18" s="64">
        <v>208933</v>
      </c>
      <c r="P18" s="65">
        <f t="shared" si="0"/>
        <v>2312437</v>
      </c>
    </row>
    <row r="19" spans="1:16" x14ac:dyDescent="0.25">
      <c r="A19" s="143"/>
      <c r="B19" s="143"/>
      <c r="C19" s="71" t="s">
        <v>144</v>
      </c>
      <c r="D19" s="64">
        <f>10621</f>
        <v>10621</v>
      </c>
      <c r="E19" s="64">
        <v>11170</v>
      </c>
      <c r="F19" s="64">
        <v>20762</v>
      </c>
      <c r="G19" s="64">
        <v>7357</v>
      </c>
      <c r="H19" s="64">
        <v>6027</v>
      </c>
      <c r="I19" s="64">
        <v>5479</v>
      </c>
      <c r="J19" s="64">
        <v>10540</v>
      </c>
      <c r="K19" s="64">
        <v>6019</v>
      </c>
      <c r="L19" s="64">
        <v>23370</v>
      </c>
      <c r="M19" s="64">
        <v>15396</v>
      </c>
      <c r="N19" s="64">
        <v>19713</v>
      </c>
      <c r="O19" s="64">
        <v>18041</v>
      </c>
      <c r="P19" s="65">
        <f t="shared" si="0"/>
        <v>154495</v>
      </c>
    </row>
    <row r="20" spans="1:16" x14ac:dyDescent="0.25">
      <c r="A20" s="143"/>
      <c r="B20" s="143"/>
      <c r="C20" s="71" t="s">
        <v>145</v>
      </c>
      <c r="D20" s="64">
        <f>4209083</f>
        <v>4209083</v>
      </c>
      <c r="E20" s="64">
        <v>3901090</v>
      </c>
      <c r="F20" s="64">
        <v>5224016</v>
      </c>
      <c r="G20" s="64">
        <v>6128913</v>
      </c>
      <c r="H20" s="64">
        <v>6349261</v>
      </c>
      <c r="I20" s="64">
        <v>6019699</v>
      </c>
      <c r="J20" s="64">
        <v>6201139</v>
      </c>
      <c r="K20" s="64">
        <v>5824559</v>
      </c>
      <c r="L20" s="64">
        <v>5806793</v>
      </c>
      <c r="M20" s="64">
        <v>5786587</v>
      </c>
      <c r="N20" s="64">
        <v>5997431</v>
      </c>
      <c r="O20" s="64">
        <v>6085295</v>
      </c>
      <c r="P20" s="65">
        <f t="shared" si="0"/>
        <v>67533866</v>
      </c>
    </row>
    <row r="21" spans="1:16" x14ac:dyDescent="0.25">
      <c r="A21" s="157" t="s">
        <v>93</v>
      </c>
      <c r="B21" s="158"/>
      <c r="C21" s="159"/>
      <c r="D21" s="82">
        <v>0</v>
      </c>
      <c r="E21" s="82">
        <f t="shared" ref="E21:N21" si="4">E17-(E18+E19+E20)</f>
        <v>0</v>
      </c>
      <c r="F21" s="82">
        <f t="shared" si="4"/>
        <v>0</v>
      </c>
      <c r="G21" s="82">
        <f t="shared" si="4"/>
        <v>0</v>
      </c>
      <c r="H21" s="82">
        <f t="shared" si="4"/>
        <v>0</v>
      </c>
      <c r="I21" s="82">
        <f t="shared" si="4"/>
        <v>0</v>
      </c>
      <c r="J21" s="82">
        <f t="shared" si="4"/>
        <v>0</v>
      </c>
      <c r="K21" s="82">
        <v>0</v>
      </c>
      <c r="L21" s="82">
        <f t="shared" si="4"/>
        <v>0</v>
      </c>
      <c r="M21" s="82">
        <f t="shared" si="4"/>
        <v>0</v>
      </c>
      <c r="N21" s="82">
        <f t="shared" si="4"/>
        <v>0</v>
      </c>
      <c r="O21" s="82">
        <v>0</v>
      </c>
      <c r="P21" s="66">
        <f t="shared" si="0"/>
        <v>0</v>
      </c>
    </row>
    <row r="22" spans="1:16" x14ac:dyDescent="0.25">
      <c r="A22" s="143" t="s">
        <v>12</v>
      </c>
      <c r="B22" s="143" t="s">
        <v>150</v>
      </c>
      <c r="C22" s="71" t="s">
        <v>88</v>
      </c>
      <c r="D22" s="72">
        <v>2480338</v>
      </c>
      <c r="E22" s="64">
        <v>2242150</v>
      </c>
      <c r="F22" s="64">
        <v>2337323</v>
      </c>
      <c r="G22" s="72">
        <v>2168401</v>
      </c>
      <c r="H22" s="64">
        <v>2347269</v>
      </c>
      <c r="I22" s="64">
        <v>2248607</v>
      </c>
      <c r="J22" s="64">
        <v>2208430</v>
      </c>
      <c r="K22" s="64">
        <v>2503074</v>
      </c>
      <c r="L22" s="64">
        <v>2329927</v>
      </c>
      <c r="M22" s="64">
        <v>2521763</v>
      </c>
      <c r="N22" s="64">
        <v>2580422</v>
      </c>
      <c r="O22" s="64">
        <v>2527756</v>
      </c>
      <c r="P22" s="65">
        <f t="shared" si="0"/>
        <v>28495460</v>
      </c>
    </row>
    <row r="23" spans="1:16" x14ac:dyDescent="0.25">
      <c r="A23" s="143"/>
      <c r="B23" s="143"/>
      <c r="C23" s="71" t="s">
        <v>89</v>
      </c>
      <c r="D23" s="64">
        <v>104534</v>
      </c>
      <c r="E23" s="64">
        <v>96497</v>
      </c>
      <c r="F23" s="64">
        <v>102059</v>
      </c>
      <c r="G23" s="72">
        <v>93191</v>
      </c>
      <c r="H23" s="64">
        <v>102800</v>
      </c>
      <c r="I23" s="64">
        <v>100400</v>
      </c>
      <c r="J23" s="64">
        <v>98799</v>
      </c>
      <c r="K23" s="64">
        <v>105917</v>
      </c>
      <c r="L23" s="64">
        <v>104328</v>
      </c>
      <c r="M23" s="64">
        <v>105406</v>
      </c>
      <c r="N23" s="72">
        <v>104868</v>
      </c>
      <c r="O23" s="72">
        <v>104010</v>
      </c>
      <c r="P23" s="65">
        <f t="shared" si="0"/>
        <v>1222809</v>
      </c>
    </row>
    <row r="24" spans="1:16" x14ac:dyDescent="0.25">
      <c r="A24" s="143"/>
      <c r="B24" s="143"/>
      <c r="C24" s="71" t="s">
        <v>144</v>
      </c>
      <c r="D24" s="64">
        <v>27075</v>
      </c>
      <c r="E24" s="64">
        <v>29770</v>
      </c>
      <c r="F24" s="64">
        <v>15730</v>
      </c>
      <c r="G24" s="72">
        <v>23360</v>
      </c>
      <c r="H24" s="64">
        <v>17340</v>
      </c>
      <c r="I24" s="64">
        <v>18730</v>
      </c>
      <c r="J24" s="64">
        <v>21420</v>
      </c>
      <c r="K24" s="64">
        <v>18890</v>
      </c>
      <c r="L24" s="64">
        <v>19090</v>
      </c>
      <c r="M24" s="64">
        <v>25440</v>
      </c>
      <c r="N24" s="72">
        <v>17190</v>
      </c>
      <c r="O24" s="72">
        <v>22880</v>
      </c>
      <c r="P24" s="65">
        <f t="shared" si="0"/>
        <v>256915</v>
      </c>
    </row>
    <row r="25" spans="1:16" x14ac:dyDescent="0.25">
      <c r="A25" s="143"/>
      <c r="B25" s="143"/>
      <c r="C25" s="71" t="s">
        <v>145</v>
      </c>
      <c r="D25" s="64">
        <v>2348729</v>
      </c>
      <c r="E25" s="64">
        <v>2115883</v>
      </c>
      <c r="F25" s="64">
        <v>2219534</v>
      </c>
      <c r="G25" s="64">
        <v>2051850</v>
      </c>
      <c r="H25" s="64">
        <v>2227129</v>
      </c>
      <c r="I25" s="64">
        <v>2129267</v>
      </c>
      <c r="J25" s="72">
        <v>2055998</v>
      </c>
      <c r="K25" s="64">
        <v>2254103</v>
      </c>
      <c r="L25" s="64">
        <v>2142756</v>
      </c>
      <c r="M25" s="64">
        <v>2118557</v>
      </c>
      <c r="N25" s="64">
        <v>2247504</v>
      </c>
      <c r="O25" s="64">
        <v>2235912</v>
      </c>
      <c r="P25" s="65">
        <f t="shared" si="0"/>
        <v>26147222</v>
      </c>
    </row>
    <row r="26" spans="1:16" x14ac:dyDescent="0.25">
      <c r="A26" s="157" t="s">
        <v>93</v>
      </c>
      <c r="B26" s="158"/>
      <c r="C26" s="159"/>
      <c r="D26" s="82">
        <f>D22-(D23+D24+D25)</f>
        <v>0</v>
      </c>
      <c r="E26" s="66">
        <f t="shared" ref="E26:O26" si="5">E22-(E23+E24+E25)</f>
        <v>0</v>
      </c>
      <c r="F26" s="82">
        <f t="shared" si="5"/>
        <v>0</v>
      </c>
      <c r="G26" s="82">
        <f t="shared" si="5"/>
        <v>0</v>
      </c>
      <c r="H26" s="82">
        <f t="shared" si="5"/>
        <v>0</v>
      </c>
      <c r="I26" s="82">
        <f t="shared" si="5"/>
        <v>210</v>
      </c>
      <c r="J26" s="82">
        <f t="shared" si="5"/>
        <v>32213</v>
      </c>
      <c r="K26" s="82">
        <f>K22-(K23+K24+K25)</f>
        <v>124164</v>
      </c>
      <c r="L26" s="82">
        <f t="shared" si="5"/>
        <v>63753</v>
      </c>
      <c r="M26" s="82">
        <f t="shared" si="5"/>
        <v>272360</v>
      </c>
      <c r="N26" s="82">
        <f t="shared" si="5"/>
        <v>210860</v>
      </c>
      <c r="O26" s="82">
        <f t="shared" si="5"/>
        <v>164954</v>
      </c>
      <c r="P26" s="66">
        <f t="shared" si="0"/>
        <v>868514</v>
      </c>
    </row>
    <row r="27" spans="1:16" ht="40.5" x14ac:dyDescent="0.25">
      <c r="A27" s="71" t="s">
        <v>148</v>
      </c>
      <c r="B27" s="77"/>
      <c r="C27" s="77"/>
      <c r="D27" s="73">
        <f>D26+D21+D16+D11+D6</f>
        <v>1933473</v>
      </c>
      <c r="E27" s="73">
        <f>E21+E16+E11+E6</f>
        <v>1965083</v>
      </c>
      <c r="F27" s="73">
        <f>F26+F21+F16+F11+F6</f>
        <v>2132549</v>
      </c>
      <c r="G27" s="73">
        <f>G26+G21+G16+G11+G6</f>
        <v>2025222</v>
      </c>
      <c r="H27" s="73">
        <f>H26+H21+H16+H11+H6</f>
        <v>2095377</v>
      </c>
      <c r="I27" s="73">
        <f>I26+I21+I16+I11+I6</f>
        <v>2152593</v>
      </c>
      <c r="J27" s="73">
        <f t="shared" ref="J27:O27" si="6">J26+J21+J16+J11+J6</f>
        <v>2149024</v>
      </c>
      <c r="K27" s="73">
        <f t="shared" si="6"/>
        <v>2480633</v>
      </c>
      <c r="L27" s="73">
        <f t="shared" si="6"/>
        <v>2416699</v>
      </c>
      <c r="M27" s="73">
        <f t="shared" si="6"/>
        <v>2720117</v>
      </c>
      <c r="N27" s="73">
        <f t="shared" si="6"/>
        <v>2430900</v>
      </c>
      <c r="O27" s="73">
        <f t="shared" si="6"/>
        <v>2609508</v>
      </c>
      <c r="P27" s="92">
        <f t="shared" si="0"/>
        <v>27111178</v>
      </c>
    </row>
  </sheetData>
  <mergeCells count="15">
    <mergeCell ref="A11:C11"/>
    <mergeCell ref="A2:A5"/>
    <mergeCell ref="B2:B5"/>
    <mergeCell ref="A6:C6"/>
    <mergeCell ref="A7:A10"/>
    <mergeCell ref="B7:B10"/>
    <mergeCell ref="A22:A25"/>
    <mergeCell ref="B22:B25"/>
    <mergeCell ref="A26:C26"/>
    <mergeCell ref="A12:A15"/>
    <mergeCell ref="B12:B15"/>
    <mergeCell ref="A16:C16"/>
    <mergeCell ref="A17:A20"/>
    <mergeCell ref="B17:B20"/>
    <mergeCell ref="A21:C2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sqref="A1:G16"/>
    </sheetView>
  </sheetViews>
  <sheetFormatPr baseColWidth="10" defaultRowHeight="15" x14ac:dyDescent="0.25"/>
  <cols>
    <col min="1" max="1" width="10.42578125" bestFit="1" customWidth="1"/>
    <col min="3" max="3" width="8.85546875" bestFit="1" customWidth="1"/>
    <col min="4" max="4" width="10" bestFit="1" customWidth="1"/>
    <col min="5" max="5" width="11.7109375" bestFit="1" customWidth="1"/>
    <col min="6" max="6" width="7.7109375" bestFit="1" customWidth="1"/>
    <col min="7" max="7" width="10" bestFit="1" customWidth="1"/>
  </cols>
  <sheetData>
    <row r="1" spans="1:7" x14ac:dyDescent="0.25">
      <c r="A1" s="164" t="s">
        <v>100</v>
      </c>
      <c r="B1" s="164" t="s">
        <v>151</v>
      </c>
      <c r="C1" s="164"/>
      <c r="D1" s="164"/>
      <c r="E1" s="164" t="s">
        <v>152</v>
      </c>
      <c r="F1" s="164"/>
      <c r="G1" s="164"/>
    </row>
    <row r="2" spans="1:7" ht="38.25" x14ac:dyDescent="0.25">
      <c r="A2" s="164"/>
      <c r="B2" s="96" t="s">
        <v>153</v>
      </c>
      <c r="C2" s="96" t="s">
        <v>154</v>
      </c>
      <c r="D2" s="96" t="s">
        <v>155</v>
      </c>
      <c r="E2" s="96" t="s">
        <v>153</v>
      </c>
      <c r="F2" s="96" t="s">
        <v>154</v>
      </c>
      <c r="G2" s="96" t="s">
        <v>155</v>
      </c>
    </row>
    <row r="3" spans="1:7" x14ac:dyDescent="0.25">
      <c r="A3" s="97" t="s">
        <v>156</v>
      </c>
      <c r="B3" s="97">
        <v>1814669</v>
      </c>
      <c r="C3" s="98">
        <v>33534</v>
      </c>
      <c r="D3" s="97">
        <f>B3-C3</f>
        <v>1781135</v>
      </c>
      <c r="E3" s="99">
        <v>6888230</v>
      </c>
      <c r="F3" s="98">
        <v>119144</v>
      </c>
      <c r="G3" s="97">
        <f>E3-F3</f>
        <v>6769086</v>
      </c>
    </row>
    <row r="4" spans="1:7" x14ac:dyDescent="0.25">
      <c r="A4" s="97" t="s">
        <v>104</v>
      </c>
      <c r="B4" s="97">
        <v>2445202</v>
      </c>
      <c r="C4" s="98">
        <v>52281</v>
      </c>
      <c r="D4" s="97">
        <f t="shared" ref="D4:D15" si="0">B4-C4</f>
        <v>2392921</v>
      </c>
      <c r="E4" s="99">
        <v>7120027</v>
      </c>
      <c r="F4" s="98">
        <v>127952</v>
      </c>
      <c r="G4" s="97">
        <f t="shared" ref="G4:G11" si="1">E4-F4</f>
        <v>6992075</v>
      </c>
    </row>
    <row r="5" spans="1:7" x14ac:dyDescent="0.25">
      <c r="A5" s="97" t="s">
        <v>109</v>
      </c>
      <c r="B5" s="97">
        <v>3693690</v>
      </c>
      <c r="C5" s="98">
        <v>84928</v>
      </c>
      <c r="D5" s="97">
        <f t="shared" si="0"/>
        <v>3608762</v>
      </c>
      <c r="E5" s="99">
        <v>7214531</v>
      </c>
      <c r="F5" s="98">
        <v>122173</v>
      </c>
      <c r="G5" s="97">
        <f t="shared" si="1"/>
        <v>7092358</v>
      </c>
    </row>
    <row r="6" spans="1:7" x14ac:dyDescent="0.25">
      <c r="A6" s="97" t="s">
        <v>110</v>
      </c>
      <c r="B6" s="97">
        <v>3530220</v>
      </c>
      <c r="C6" s="98">
        <v>80160</v>
      </c>
      <c r="D6" s="97">
        <f t="shared" si="0"/>
        <v>3450060</v>
      </c>
      <c r="E6" s="99">
        <v>6802148</v>
      </c>
      <c r="F6" s="98">
        <v>86884</v>
      </c>
      <c r="G6" s="97">
        <f t="shared" si="1"/>
        <v>6715264</v>
      </c>
    </row>
    <row r="7" spans="1:7" x14ac:dyDescent="0.25">
      <c r="A7" s="97" t="s">
        <v>157</v>
      </c>
      <c r="B7" s="97">
        <v>3171264</v>
      </c>
      <c r="C7" s="98">
        <v>77871</v>
      </c>
      <c r="D7" s="97">
        <f t="shared" si="0"/>
        <v>3093393</v>
      </c>
      <c r="E7" s="99">
        <v>8514223</v>
      </c>
      <c r="F7" s="98">
        <v>77356</v>
      </c>
      <c r="G7" s="97">
        <f t="shared" si="1"/>
        <v>8436867</v>
      </c>
    </row>
    <row r="8" spans="1:7" x14ac:dyDescent="0.25">
      <c r="A8" s="97" t="s">
        <v>158</v>
      </c>
      <c r="B8" s="97">
        <v>3546057</v>
      </c>
      <c r="C8" s="98">
        <v>94140</v>
      </c>
      <c r="D8" s="97">
        <f t="shared" si="0"/>
        <v>3451917</v>
      </c>
      <c r="E8" s="99">
        <v>7246506</v>
      </c>
      <c r="F8" s="98">
        <v>55102</v>
      </c>
      <c r="G8" s="97">
        <f t="shared" si="1"/>
        <v>7191404</v>
      </c>
    </row>
    <row r="9" spans="1:7" x14ac:dyDescent="0.25">
      <c r="A9" s="97" t="s">
        <v>159</v>
      </c>
      <c r="B9" s="97">
        <v>3225879</v>
      </c>
      <c r="C9" s="98">
        <v>92451</v>
      </c>
      <c r="D9" s="97">
        <f t="shared" si="0"/>
        <v>3133428</v>
      </c>
      <c r="E9" s="99">
        <v>7262041</v>
      </c>
      <c r="F9" s="98">
        <f>60913+5114</f>
        <v>66027</v>
      </c>
      <c r="G9" s="97">
        <f t="shared" si="1"/>
        <v>7196014</v>
      </c>
    </row>
    <row r="10" spans="1:7" x14ac:dyDescent="0.25">
      <c r="A10" s="97" t="s">
        <v>160</v>
      </c>
      <c r="B10" s="97">
        <v>3022062</v>
      </c>
      <c r="C10" s="98">
        <v>105220</v>
      </c>
      <c r="D10" s="97">
        <f t="shared" si="0"/>
        <v>2916842</v>
      </c>
      <c r="E10" s="99">
        <v>8037721</v>
      </c>
      <c r="F10" s="98">
        <f>70051+17661+2279</f>
        <v>89991</v>
      </c>
      <c r="G10" s="97">
        <f t="shared" si="1"/>
        <v>7947730</v>
      </c>
    </row>
    <row r="11" spans="1:7" x14ac:dyDescent="0.25">
      <c r="A11" s="97" t="s">
        <v>161</v>
      </c>
      <c r="B11" s="97">
        <v>2991456</v>
      </c>
      <c r="C11" s="98">
        <v>119350</v>
      </c>
      <c r="D11" s="97">
        <f t="shared" si="0"/>
        <v>2872106</v>
      </c>
      <c r="E11" s="99">
        <v>6476248</v>
      </c>
      <c r="F11" s="98">
        <f>63475+16071+8526</f>
        <v>88072</v>
      </c>
      <c r="G11" s="97">
        <f t="shared" si="1"/>
        <v>6388176</v>
      </c>
    </row>
    <row r="12" spans="1:7" x14ac:dyDescent="0.25">
      <c r="A12" s="97" t="s">
        <v>162</v>
      </c>
      <c r="B12" s="97">
        <v>3451612</v>
      </c>
      <c r="C12" s="98">
        <v>86532</v>
      </c>
      <c r="D12" s="97">
        <f t="shared" si="0"/>
        <v>3365080</v>
      </c>
      <c r="E12" s="97"/>
      <c r="F12" s="97"/>
      <c r="G12" s="97"/>
    </row>
    <row r="13" spans="1:7" x14ac:dyDescent="0.25">
      <c r="A13" s="97" t="s">
        <v>163</v>
      </c>
      <c r="B13" s="97">
        <v>3964489</v>
      </c>
      <c r="C13" s="98">
        <v>85533</v>
      </c>
      <c r="D13" s="97">
        <f t="shared" si="0"/>
        <v>3878956</v>
      </c>
      <c r="E13" s="97"/>
      <c r="F13" s="97"/>
      <c r="G13" s="97"/>
    </row>
    <row r="14" spans="1:7" x14ac:dyDescent="0.25">
      <c r="A14" s="97" t="s">
        <v>164</v>
      </c>
      <c r="B14" s="97">
        <v>6425215</v>
      </c>
      <c r="C14" s="98">
        <v>103473</v>
      </c>
      <c r="D14" s="97">
        <f t="shared" si="0"/>
        <v>6321742</v>
      </c>
      <c r="E14" s="97"/>
      <c r="F14" s="97"/>
      <c r="G14" s="97"/>
    </row>
    <row r="15" spans="1:7" x14ac:dyDescent="0.25">
      <c r="A15" s="97" t="s">
        <v>11</v>
      </c>
      <c r="B15" s="97">
        <f>SUM(B3:B14)</f>
        <v>41281815</v>
      </c>
      <c r="C15" s="97">
        <f>SUM(C3:C14)</f>
        <v>1015473</v>
      </c>
      <c r="D15" s="97">
        <f t="shared" si="0"/>
        <v>40266342</v>
      </c>
      <c r="E15" s="97">
        <f>SUM(E3:E14)</f>
        <v>65561675</v>
      </c>
      <c r="F15" s="97">
        <f t="shared" ref="F15:G15" si="2">SUM(F3:F14)</f>
        <v>832701</v>
      </c>
      <c r="G15" s="97">
        <f t="shared" si="2"/>
        <v>64728974</v>
      </c>
    </row>
    <row r="16" spans="1:7" x14ac:dyDescent="0.25">
      <c r="A16" s="164" t="s">
        <v>165</v>
      </c>
      <c r="B16" s="164"/>
      <c r="C16" s="164"/>
      <c r="D16" s="164"/>
      <c r="E16" s="164">
        <f>G15+D15</f>
        <v>104995316</v>
      </c>
      <c r="F16" s="164"/>
      <c r="G16" s="164"/>
    </row>
  </sheetData>
  <mergeCells count="5">
    <mergeCell ref="A1:A2"/>
    <mergeCell ref="B1:D1"/>
    <mergeCell ref="E1:G1"/>
    <mergeCell ref="A16:D16"/>
    <mergeCell ref="E16:G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D10" sqref="D10"/>
    </sheetView>
  </sheetViews>
  <sheetFormatPr baseColWidth="10" defaultRowHeight="15" x14ac:dyDescent="0.25"/>
  <cols>
    <col min="1" max="1" width="12.28515625" customWidth="1"/>
    <col min="3" max="3" width="5" bestFit="1" customWidth="1"/>
    <col min="4" max="4" width="9.140625" bestFit="1" customWidth="1"/>
    <col min="5" max="5" width="9.42578125" customWidth="1"/>
    <col min="6" max="6" width="5" bestFit="1" customWidth="1"/>
    <col min="7" max="7" width="8.140625" bestFit="1" customWidth="1"/>
    <col min="8" max="8" width="13.28515625" customWidth="1"/>
  </cols>
  <sheetData>
    <row r="1" spans="1:8" x14ac:dyDescent="0.25">
      <c r="A1" s="165" t="s">
        <v>126</v>
      </c>
      <c r="B1" s="165" t="s">
        <v>127</v>
      </c>
      <c r="C1" s="165" t="s">
        <v>166</v>
      </c>
      <c r="D1" s="165"/>
      <c r="E1" s="165" t="s">
        <v>167</v>
      </c>
      <c r="F1" s="151" t="s">
        <v>168</v>
      </c>
      <c r="G1" s="151"/>
      <c r="H1" s="151" t="s">
        <v>169</v>
      </c>
    </row>
    <row r="2" spans="1:8" x14ac:dyDescent="0.25">
      <c r="A2" s="165"/>
      <c r="B2" s="165"/>
      <c r="C2" s="100">
        <v>2006</v>
      </c>
      <c r="D2" s="100">
        <v>2007</v>
      </c>
      <c r="E2" s="165"/>
      <c r="F2" s="101">
        <v>2006</v>
      </c>
      <c r="G2" s="85">
        <v>2007</v>
      </c>
      <c r="H2" s="151"/>
    </row>
    <row r="3" spans="1:8" x14ac:dyDescent="0.25">
      <c r="A3" s="102" t="s">
        <v>4</v>
      </c>
      <c r="B3" s="50">
        <v>71857</v>
      </c>
      <c r="C3" s="102">
        <v>1.0990502694265489</v>
      </c>
      <c r="D3" s="102">
        <v>25858.520892094304</v>
      </c>
      <c r="E3" s="102">
        <v>45997.38005763627</v>
      </c>
      <c r="F3" s="102">
        <f>C3*8%</f>
        <v>8.7924021554123918E-2</v>
      </c>
      <c r="G3" s="102">
        <f>D3*8%</f>
        <v>2068.6816713675444</v>
      </c>
      <c r="H3" s="102">
        <f>E3*20%</f>
        <v>9199.4760115272547</v>
      </c>
    </row>
    <row r="4" spans="1:8" ht="45" x14ac:dyDescent="0.25">
      <c r="A4" s="102" t="s">
        <v>128</v>
      </c>
      <c r="B4" s="50">
        <v>49090</v>
      </c>
      <c r="C4" s="102">
        <v>0.87924021554123921</v>
      </c>
      <c r="D4" s="102">
        <v>20686.816713675445</v>
      </c>
      <c r="E4" s="102">
        <v>28402.304046109013</v>
      </c>
      <c r="F4" s="102">
        <f t="shared" ref="F4:G7" si="0">C4*8%</f>
        <v>7.033921724329914E-2</v>
      </c>
      <c r="G4" s="102">
        <f t="shared" si="0"/>
        <v>1654.9453370940357</v>
      </c>
      <c r="H4" s="102">
        <f t="shared" ref="H4:H6" si="1">E4*20%</f>
        <v>5680.4608092218032</v>
      </c>
    </row>
    <row r="5" spans="1:8" ht="30" x14ac:dyDescent="0.25">
      <c r="A5" s="102" t="s">
        <v>129</v>
      </c>
      <c r="B5" s="50">
        <v>13373</v>
      </c>
      <c r="C5" s="102"/>
      <c r="D5" s="102"/>
      <c r="E5" s="102">
        <v>13373</v>
      </c>
      <c r="F5" s="102">
        <f t="shared" si="0"/>
        <v>0</v>
      </c>
      <c r="G5" s="102">
        <f t="shared" si="0"/>
        <v>0</v>
      </c>
      <c r="H5" s="102">
        <f t="shared" si="1"/>
        <v>2674.6000000000004</v>
      </c>
    </row>
    <row r="6" spans="1:8" ht="45" x14ac:dyDescent="0.25">
      <c r="A6" s="102" t="s">
        <v>130</v>
      </c>
      <c r="B6" s="50">
        <v>15866</v>
      </c>
      <c r="C6" s="102">
        <v>0.2198100538853098</v>
      </c>
      <c r="D6" s="102">
        <v>5171.7041784188614</v>
      </c>
      <c r="E6" s="102">
        <v>10694.076011527253</v>
      </c>
      <c r="F6" s="102">
        <f t="shared" si="0"/>
        <v>1.7584804310824785E-2</v>
      </c>
      <c r="G6" s="102">
        <f t="shared" si="0"/>
        <v>413.73633427350893</v>
      </c>
      <c r="H6" s="102">
        <f t="shared" si="1"/>
        <v>2138.8152023054508</v>
      </c>
    </row>
    <row r="7" spans="1:8" x14ac:dyDescent="0.25">
      <c r="A7" s="103" t="s">
        <v>11</v>
      </c>
      <c r="B7" s="86">
        <f>SUM(B3:B6)</f>
        <v>150186</v>
      </c>
      <c r="C7" s="103">
        <f t="shared" ref="C7:H7" si="2">SUM(C3:C6)</f>
        <v>2.1981005388530979</v>
      </c>
      <c r="D7" s="103">
        <f t="shared" si="2"/>
        <v>51717.041784188608</v>
      </c>
      <c r="E7" s="103">
        <f t="shared" si="2"/>
        <v>98466.76011527254</v>
      </c>
      <c r="F7" s="103">
        <f>C7*8%</f>
        <v>0.17584804310824784</v>
      </c>
      <c r="G7" s="103">
        <f t="shared" si="0"/>
        <v>4137.3633427350887</v>
      </c>
      <c r="H7" s="103">
        <f t="shared" si="2"/>
        <v>19693.352023054511</v>
      </c>
    </row>
  </sheetData>
  <mergeCells count="6">
    <mergeCell ref="H1:H2"/>
    <mergeCell ref="A1:A2"/>
    <mergeCell ref="B1:B2"/>
    <mergeCell ref="C1:D1"/>
    <mergeCell ref="E1:E2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7" sqref="B7"/>
    </sheetView>
  </sheetViews>
  <sheetFormatPr baseColWidth="10" defaultRowHeight="15" x14ac:dyDescent="0.25"/>
  <sheetData>
    <row r="1" spans="1:6" ht="30" x14ac:dyDescent="0.25">
      <c r="A1" s="1" t="s">
        <v>19</v>
      </c>
      <c r="B1" s="1" t="s">
        <v>20</v>
      </c>
      <c r="C1" s="1" t="s">
        <v>21</v>
      </c>
      <c r="D1" s="1" t="s">
        <v>22</v>
      </c>
      <c r="E1" s="1" t="s">
        <v>23</v>
      </c>
      <c r="F1" s="1" t="s">
        <v>24</v>
      </c>
    </row>
    <row r="2" spans="1:6" x14ac:dyDescent="0.25">
      <c r="A2" s="3" t="s">
        <v>4</v>
      </c>
      <c r="B2" s="3">
        <v>50</v>
      </c>
      <c r="C2" s="3">
        <v>50</v>
      </c>
      <c r="D2" s="3">
        <v>50</v>
      </c>
      <c r="E2" s="3">
        <v>50</v>
      </c>
      <c r="F2" s="3">
        <v>50</v>
      </c>
    </row>
    <row r="3" spans="1:6" x14ac:dyDescent="0.25">
      <c r="A3" s="3" t="s">
        <v>13</v>
      </c>
      <c r="B3" s="3">
        <v>5</v>
      </c>
      <c r="C3" s="3">
        <v>5</v>
      </c>
      <c r="D3" s="3">
        <v>31.67</v>
      </c>
      <c r="E3" s="3">
        <v>31.67</v>
      </c>
      <c r="F3" s="3">
        <v>40</v>
      </c>
    </row>
    <row r="4" spans="1:6" ht="30" x14ac:dyDescent="0.25">
      <c r="A4" s="3" t="s">
        <v>25</v>
      </c>
      <c r="B4" s="3"/>
      <c r="C4" s="3">
        <v>8.33</v>
      </c>
      <c r="D4" s="3">
        <v>8.33</v>
      </c>
      <c r="E4" s="3">
        <v>8.33</v>
      </c>
      <c r="F4" s="3"/>
    </row>
    <row r="5" spans="1:6" x14ac:dyDescent="0.25">
      <c r="A5" s="3" t="s">
        <v>16</v>
      </c>
      <c r="B5" s="3"/>
      <c r="C5" s="3"/>
      <c r="D5" s="3"/>
      <c r="E5" s="3">
        <v>10</v>
      </c>
      <c r="F5" s="3">
        <v>10</v>
      </c>
    </row>
    <row r="6" spans="1:6" x14ac:dyDescent="0.25">
      <c r="A6" s="3" t="s">
        <v>26</v>
      </c>
      <c r="B6" s="3">
        <v>45</v>
      </c>
      <c r="C6" s="3">
        <v>26.67</v>
      </c>
      <c r="D6" s="3"/>
      <c r="E6" s="3"/>
      <c r="F6" s="3"/>
    </row>
    <row r="7" spans="1:6" ht="30" x14ac:dyDescent="0.25">
      <c r="A7" s="3" t="s">
        <v>27</v>
      </c>
      <c r="B7" s="3"/>
      <c r="C7" s="3">
        <v>10</v>
      </c>
      <c r="D7" s="3">
        <v>10</v>
      </c>
      <c r="E7" s="3"/>
      <c r="F7" s="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topLeftCell="A4" workbookViewId="0">
      <selection activeCell="C12" sqref="C12"/>
    </sheetView>
  </sheetViews>
  <sheetFormatPr baseColWidth="10" defaultRowHeight="15" x14ac:dyDescent="0.25"/>
  <cols>
    <col min="7" max="7" width="15.28515625" bestFit="1" customWidth="1"/>
  </cols>
  <sheetData>
    <row r="4" spans="1:7" ht="60" x14ac:dyDescent="0.25">
      <c r="A4" s="58" t="s">
        <v>29</v>
      </c>
      <c r="B4" s="58" t="s">
        <v>127</v>
      </c>
      <c r="C4" s="58" t="s">
        <v>170</v>
      </c>
      <c r="D4" s="58" t="s">
        <v>171</v>
      </c>
      <c r="E4" s="58" t="s">
        <v>172</v>
      </c>
      <c r="F4" s="58" t="s">
        <v>173</v>
      </c>
      <c r="G4" s="58" t="s">
        <v>174</v>
      </c>
    </row>
    <row r="5" spans="1:7" x14ac:dyDescent="0.25">
      <c r="A5" s="3">
        <v>2006</v>
      </c>
      <c r="B5" s="104">
        <v>0.17584804310824784</v>
      </c>
      <c r="C5" s="102">
        <v>46.71</v>
      </c>
      <c r="D5" s="102">
        <v>2358.4699999999998</v>
      </c>
      <c r="E5" s="102"/>
      <c r="F5" s="102"/>
      <c r="G5" s="102">
        <f>B5*C5*D5</f>
        <v>19372.147331860375</v>
      </c>
    </row>
    <row r="6" spans="1:7" x14ac:dyDescent="0.25">
      <c r="A6" s="3">
        <v>2007</v>
      </c>
      <c r="B6" s="104">
        <v>4137.3633427350887</v>
      </c>
      <c r="C6" s="102">
        <v>57.23</v>
      </c>
      <c r="D6" s="102"/>
      <c r="E6" s="102">
        <v>2077.25</v>
      </c>
      <c r="F6" s="102"/>
      <c r="G6" s="102">
        <f>B6*C6*E6</f>
        <v>491853963.95154858</v>
      </c>
    </row>
    <row r="7" spans="1:7" x14ac:dyDescent="0.25">
      <c r="A7" s="3" t="s">
        <v>175</v>
      </c>
      <c r="B7" s="104">
        <v>19693.352023054511</v>
      </c>
      <c r="C7" s="102">
        <v>27.44</v>
      </c>
      <c r="D7" s="102"/>
      <c r="E7" s="102"/>
      <c r="F7" s="102">
        <v>2323.41</v>
      </c>
      <c r="G7" s="102">
        <f>B7*C7*F7</f>
        <v>1255537259.2954066</v>
      </c>
    </row>
    <row r="8" spans="1:7" x14ac:dyDescent="0.25">
      <c r="A8" s="113" t="s">
        <v>176</v>
      </c>
      <c r="B8" s="113"/>
      <c r="C8" s="113"/>
      <c r="D8" s="113"/>
      <c r="E8" s="113"/>
      <c r="F8" s="113"/>
      <c r="G8" s="105">
        <f>SUM(G5:G7)</f>
        <v>1747410595.3942871</v>
      </c>
    </row>
  </sheetData>
  <mergeCells count="1">
    <mergeCell ref="A8:F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B9" sqref="B9:E9"/>
    </sheetView>
  </sheetViews>
  <sheetFormatPr baseColWidth="10" defaultRowHeight="15" x14ac:dyDescent="0.25"/>
  <cols>
    <col min="1" max="1" width="12.140625" customWidth="1"/>
    <col min="6" max="6" width="13.7109375" bestFit="1" customWidth="1"/>
  </cols>
  <sheetData>
    <row r="1" spans="1:6" ht="45" x14ac:dyDescent="0.25">
      <c r="A1" s="103" t="s">
        <v>126</v>
      </c>
      <c r="B1" s="103" t="s">
        <v>177</v>
      </c>
      <c r="C1" s="58" t="s">
        <v>127</v>
      </c>
      <c r="D1" s="58" t="s">
        <v>178</v>
      </c>
      <c r="E1" s="103" t="s">
        <v>179</v>
      </c>
      <c r="F1" s="103" t="s">
        <v>180</v>
      </c>
    </row>
    <row r="2" spans="1:6" x14ac:dyDescent="0.25">
      <c r="A2" s="172" t="s">
        <v>4</v>
      </c>
      <c r="B2" s="50">
        <v>2006</v>
      </c>
      <c r="C2" s="102">
        <v>8.7924021554123918E-2</v>
      </c>
      <c r="D2" s="102">
        <v>46.71</v>
      </c>
      <c r="E2" s="102">
        <v>2358.4699999999998</v>
      </c>
      <c r="F2" s="102">
        <f>C2*D2*E2</f>
        <v>9686.0736659301874</v>
      </c>
    </row>
    <row r="3" spans="1:6" x14ac:dyDescent="0.25">
      <c r="A3" s="172"/>
      <c r="B3" s="50">
        <v>2007</v>
      </c>
      <c r="C3" s="102">
        <v>2068.6816713675444</v>
      </c>
      <c r="D3" s="102">
        <v>57.23</v>
      </c>
      <c r="E3" s="102">
        <v>2077.25</v>
      </c>
      <c r="F3" s="102">
        <f t="shared" ref="F3:F16" si="0">C3*D3*E3</f>
        <v>245926981.97577429</v>
      </c>
    </row>
    <row r="4" spans="1:6" x14ac:dyDescent="0.25">
      <c r="A4" s="172"/>
      <c r="B4" s="50" t="s">
        <v>175</v>
      </c>
      <c r="C4" s="102">
        <v>9199.4760115272547</v>
      </c>
      <c r="D4" s="102">
        <v>27.44</v>
      </c>
      <c r="E4" s="102">
        <v>2323.41</v>
      </c>
      <c r="F4" s="102">
        <f t="shared" si="0"/>
        <v>586506801.12482321</v>
      </c>
    </row>
    <row r="5" spans="1:6" x14ac:dyDescent="0.25">
      <c r="A5" s="172"/>
      <c r="B5" s="169" t="s">
        <v>11</v>
      </c>
      <c r="C5" s="170"/>
      <c r="D5" s="170"/>
      <c r="E5" s="171"/>
      <c r="F5" s="105">
        <f>SUM(F2:F4)</f>
        <v>832443469.17426348</v>
      </c>
    </row>
    <row r="6" spans="1:6" x14ac:dyDescent="0.25">
      <c r="A6" s="166" t="s">
        <v>128</v>
      </c>
      <c r="B6" s="50">
        <v>2006</v>
      </c>
      <c r="C6" s="102">
        <v>7.033921724329914E-2</v>
      </c>
      <c r="D6" s="102">
        <v>46.71</v>
      </c>
      <c r="E6" s="102">
        <v>2358.4699999999998</v>
      </c>
      <c r="F6" s="102">
        <f t="shared" si="0"/>
        <v>7748.8589327441514</v>
      </c>
    </row>
    <row r="7" spans="1:6" x14ac:dyDescent="0.25">
      <c r="A7" s="167"/>
      <c r="B7" s="50">
        <v>2007</v>
      </c>
      <c r="C7" s="102">
        <v>1654.9453370940357</v>
      </c>
      <c r="D7" s="102">
        <v>57.23</v>
      </c>
      <c r="E7" s="102">
        <v>2077.25</v>
      </c>
      <c r="F7" s="102">
        <f t="shared" si="0"/>
        <v>196741585.58061942</v>
      </c>
    </row>
    <row r="8" spans="1:6" x14ac:dyDescent="0.25">
      <c r="A8" s="167"/>
      <c r="B8" s="50" t="s">
        <v>175</v>
      </c>
      <c r="C8" s="102">
        <v>5680.4608092218032</v>
      </c>
      <c r="D8" s="102">
        <v>27.44</v>
      </c>
      <c r="E8" s="102">
        <v>2323.41</v>
      </c>
      <c r="F8" s="102">
        <f t="shared" si="0"/>
        <v>362154202.47381061</v>
      </c>
    </row>
    <row r="9" spans="1:6" x14ac:dyDescent="0.25">
      <c r="A9" s="168"/>
      <c r="B9" s="169" t="s">
        <v>11</v>
      </c>
      <c r="C9" s="170"/>
      <c r="D9" s="170"/>
      <c r="E9" s="171"/>
      <c r="F9" s="105">
        <f>SUM(F6:F8)</f>
        <v>558903536.91336274</v>
      </c>
    </row>
    <row r="10" spans="1:6" x14ac:dyDescent="0.25">
      <c r="A10" s="166" t="s">
        <v>129</v>
      </c>
      <c r="B10" s="50">
        <v>2006</v>
      </c>
      <c r="C10" s="3">
        <v>0</v>
      </c>
      <c r="D10" s="102">
        <v>46.71</v>
      </c>
      <c r="E10" s="102">
        <v>2358.4699999999998</v>
      </c>
      <c r="F10" s="102">
        <f t="shared" si="0"/>
        <v>0</v>
      </c>
    </row>
    <row r="11" spans="1:6" x14ac:dyDescent="0.25">
      <c r="A11" s="167"/>
      <c r="B11" s="50">
        <v>2007</v>
      </c>
      <c r="C11" s="106">
        <v>0</v>
      </c>
      <c r="D11" s="102">
        <v>57.23</v>
      </c>
      <c r="E11" s="102">
        <v>2077.25</v>
      </c>
      <c r="F11" s="102">
        <f t="shared" si="0"/>
        <v>0</v>
      </c>
    </row>
    <row r="12" spans="1:6" x14ac:dyDescent="0.25">
      <c r="A12" s="167"/>
      <c r="B12" s="50" t="s">
        <v>175</v>
      </c>
      <c r="C12" s="102">
        <v>2674.6000000000004</v>
      </c>
      <c r="D12" s="102">
        <v>27.44</v>
      </c>
      <c r="E12" s="102">
        <v>2323.41</v>
      </c>
      <c r="F12" s="102">
        <f t="shared" si="0"/>
        <v>170517439.07184005</v>
      </c>
    </row>
    <row r="13" spans="1:6" x14ac:dyDescent="0.25">
      <c r="A13" s="168"/>
      <c r="B13" s="169" t="s">
        <v>11</v>
      </c>
      <c r="C13" s="170"/>
      <c r="D13" s="170"/>
      <c r="E13" s="171"/>
      <c r="F13" s="105">
        <f>SUM(F10:F12)</f>
        <v>170517439.07184005</v>
      </c>
    </row>
    <row r="14" spans="1:6" x14ac:dyDescent="0.25">
      <c r="A14" s="166" t="s">
        <v>130</v>
      </c>
      <c r="B14" s="50">
        <v>2006</v>
      </c>
      <c r="C14" s="102">
        <v>1.7584804310824785E-2</v>
      </c>
      <c r="D14" s="102">
        <v>46.71</v>
      </c>
      <c r="E14" s="102">
        <v>2358.4699999999998</v>
      </c>
      <c r="F14" s="102">
        <f t="shared" si="0"/>
        <v>1937.2147331860378</v>
      </c>
    </row>
    <row r="15" spans="1:6" x14ac:dyDescent="0.25">
      <c r="A15" s="167"/>
      <c r="B15" s="50">
        <v>2007</v>
      </c>
      <c r="C15" s="102">
        <v>413.73633427350893</v>
      </c>
      <c r="D15" s="102">
        <v>57.23</v>
      </c>
      <c r="E15" s="102">
        <v>2077.25</v>
      </c>
      <c r="F15" s="102">
        <f t="shared" si="0"/>
        <v>49185396.395154856</v>
      </c>
    </row>
    <row r="16" spans="1:6" x14ac:dyDescent="0.25">
      <c r="A16" s="167"/>
      <c r="B16" s="50" t="s">
        <v>175</v>
      </c>
      <c r="C16" s="102">
        <v>2138.8152023054508</v>
      </c>
      <c r="D16" s="102">
        <v>27.44</v>
      </c>
      <c r="E16" s="102">
        <v>2323.41</v>
      </c>
      <c r="F16" s="102">
        <f t="shared" si="0"/>
        <v>136358816.62493265</v>
      </c>
    </row>
    <row r="17" spans="1:6" x14ac:dyDescent="0.25">
      <c r="A17" s="168"/>
      <c r="B17" s="169" t="s">
        <v>11</v>
      </c>
      <c r="C17" s="170"/>
      <c r="D17" s="170"/>
      <c r="E17" s="171"/>
      <c r="F17" s="105">
        <f>SUM(F14:F16)</f>
        <v>185546150.23482069</v>
      </c>
    </row>
  </sheetData>
  <mergeCells count="8">
    <mergeCell ref="A14:A17"/>
    <mergeCell ref="B17:E17"/>
    <mergeCell ref="A2:A5"/>
    <mergeCell ref="B5:E5"/>
    <mergeCell ref="A6:A9"/>
    <mergeCell ref="B9:E9"/>
    <mergeCell ref="A10:A13"/>
    <mergeCell ref="B13:E1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9" sqref="D9"/>
    </sheetView>
  </sheetViews>
  <sheetFormatPr baseColWidth="10" defaultRowHeight="15" x14ac:dyDescent="0.25"/>
  <sheetData>
    <row r="1" spans="1:7" x14ac:dyDescent="0.25">
      <c r="A1" s="173" t="s">
        <v>181</v>
      </c>
      <c r="B1" s="173" t="s">
        <v>182</v>
      </c>
      <c r="C1" s="173"/>
      <c r="D1" s="173" t="s">
        <v>183</v>
      </c>
      <c r="E1" s="173"/>
      <c r="F1" s="173"/>
      <c r="G1" s="173" t="s">
        <v>184</v>
      </c>
    </row>
    <row r="2" spans="1:7" ht="63.75" x14ac:dyDescent="0.25">
      <c r="A2" s="173"/>
      <c r="B2" s="107" t="s">
        <v>185</v>
      </c>
      <c r="C2" s="107" t="s">
        <v>186</v>
      </c>
      <c r="D2" s="107" t="s">
        <v>187</v>
      </c>
      <c r="E2" s="107" t="s">
        <v>188</v>
      </c>
      <c r="F2" s="107" t="s">
        <v>186</v>
      </c>
      <c r="G2" s="173"/>
    </row>
    <row r="3" spans="1:7" ht="51" x14ac:dyDescent="0.25">
      <c r="A3" s="108" t="s">
        <v>189</v>
      </c>
      <c r="B3" s="108">
        <v>47.5</v>
      </c>
      <c r="C3" s="108">
        <v>47.5</v>
      </c>
      <c r="D3" s="108">
        <v>52</v>
      </c>
      <c r="E3" s="108">
        <v>47.5</v>
      </c>
      <c r="F3" s="108">
        <v>47.5</v>
      </c>
      <c r="G3" s="107">
        <f>(B3+C3+D3+E3+F3)/5</f>
        <v>48.4</v>
      </c>
    </row>
    <row r="4" spans="1:7" ht="51" x14ac:dyDescent="0.25">
      <c r="A4" s="108" t="s">
        <v>190</v>
      </c>
      <c r="B4" s="108">
        <v>25</v>
      </c>
      <c r="C4" s="108">
        <v>12.5</v>
      </c>
      <c r="D4" s="108">
        <v>32</v>
      </c>
      <c r="E4" s="108">
        <v>25</v>
      </c>
      <c r="F4" s="108">
        <v>12.5</v>
      </c>
      <c r="G4" s="107">
        <f t="shared" ref="G4:G6" si="0">(B4+C4+D4+E4+F4)/5</f>
        <v>21.4</v>
      </c>
    </row>
    <row r="5" spans="1:7" ht="38.25" x14ac:dyDescent="0.25">
      <c r="A5" s="108" t="s">
        <v>191</v>
      </c>
      <c r="B5" s="108">
        <v>8</v>
      </c>
      <c r="C5" s="108">
        <v>8</v>
      </c>
      <c r="D5" s="108">
        <v>8</v>
      </c>
      <c r="E5" s="108">
        <v>8</v>
      </c>
      <c r="F5" s="108">
        <v>8</v>
      </c>
      <c r="G5" s="107">
        <f t="shared" si="0"/>
        <v>8</v>
      </c>
    </row>
    <row r="6" spans="1:7" ht="38.25" x14ac:dyDescent="0.25">
      <c r="A6" s="108" t="s">
        <v>192</v>
      </c>
      <c r="B6" s="108">
        <v>19.5</v>
      </c>
      <c r="C6" s="108">
        <v>32</v>
      </c>
      <c r="D6" s="108">
        <v>8</v>
      </c>
      <c r="E6" s="108">
        <v>19.5</v>
      </c>
      <c r="F6" s="108">
        <v>32</v>
      </c>
      <c r="G6" s="107">
        <f t="shared" si="0"/>
        <v>22.2</v>
      </c>
    </row>
  </sheetData>
  <mergeCells count="4">
    <mergeCell ref="A1:A2"/>
    <mergeCell ref="B1:C1"/>
    <mergeCell ref="D1:F1"/>
    <mergeCell ref="G1:G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9" sqref="C9"/>
    </sheetView>
  </sheetViews>
  <sheetFormatPr baseColWidth="10" defaultRowHeight="15" x14ac:dyDescent="0.25"/>
  <cols>
    <col min="1" max="1" width="10.5703125" bestFit="1" customWidth="1"/>
    <col min="2" max="3" width="15.140625" bestFit="1" customWidth="1"/>
    <col min="4" max="4" width="14.140625" bestFit="1" customWidth="1"/>
    <col min="5" max="6" width="15.140625" bestFit="1" customWidth="1"/>
  </cols>
  <sheetData>
    <row r="1" spans="1:6" ht="38.25" x14ac:dyDescent="0.25">
      <c r="A1" s="107" t="s">
        <v>126</v>
      </c>
      <c r="B1" s="107" t="s">
        <v>193</v>
      </c>
      <c r="C1" s="107" t="s">
        <v>190</v>
      </c>
      <c r="D1" s="107" t="s">
        <v>191</v>
      </c>
      <c r="E1" s="107" t="s">
        <v>192</v>
      </c>
      <c r="F1" s="107" t="s">
        <v>11</v>
      </c>
    </row>
    <row r="2" spans="1:6" x14ac:dyDescent="0.25">
      <c r="A2" s="108" t="s">
        <v>4</v>
      </c>
      <c r="B2" s="109">
        <v>402902639.08034348</v>
      </c>
      <c r="C2" s="109">
        <v>178142902.40329239</v>
      </c>
      <c r="D2" s="109">
        <v>66595477.533941083</v>
      </c>
      <c r="E2" s="109">
        <v>184802450.15668648</v>
      </c>
      <c r="F2" s="109">
        <v>832443469.17426348</v>
      </c>
    </row>
    <row r="3" spans="1:6" ht="38.25" x14ac:dyDescent="0.25">
      <c r="A3" s="108" t="s">
        <v>128</v>
      </c>
      <c r="B3" s="109">
        <v>270509311.86606759</v>
      </c>
      <c r="C3" s="109">
        <v>119605356.89945963</v>
      </c>
      <c r="D3" s="109">
        <v>44712282.953069024</v>
      </c>
      <c r="E3" s="109">
        <v>124076585.19476654</v>
      </c>
      <c r="F3" s="109">
        <v>558903536.91336286</v>
      </c>
    </row>
    <row r="4" spans="1:6" ht="25.5" x14ac:dyDescent="0.25">
      <c r="A4" s="108" t="s">
        <v>129</v>
      </c>
      <c r="B4" s="109">
        <v>82530440.510770574</v>
      </c>
      <c r="C4" s="109">
        <v>36490731.961373769</v>
      </c>
      <c r="D4" s="109">
        <v>13641395.125747204</v>
      </c>
      <c r="E4" s="109">
        <v>37854871.473948494</v>
      </c>
      <c r="F4" s="109">
        <v>170517439.07184005</v>
      </c>
    </row>
    <row r="5" spans="1:6" ht="38.25" x14ac:dyDescent="0.25">
      <c r="A5" s="108" t="s">
        <v>130</v>
      </c>
      <c r="B5" s="109">
        <v>89804336.713653207</v>
      </c>
      <c r="C5" s="109">
        <v>39706876.150251627</v>
      </c>
      <c r="D5" s="109">
        <v>14843692.018785655</v>
      </c>
      <c r="E5" s="109">
        <v>41191245.352130197</v>
      </c>
      <c r="F5" s="109">
        <v>185546150.23482069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C10" sqref="C10"/>
    </sheetView>
  </sheetViews>
  <sheetFormatPr baseColWidth="10" defaultRowHeight="15" x14ac:dyDescent="0.25"/>
  <cols>
    <col min="1" max="1" width="11.140625" bestFit="1" customWidth="1"/>
    <col min="2" max="5" width="13.42578125" bestFit="1" customWidth="1"/>
    <col min="6" max="6" width="14.7109375" bestFit="1" customWidth="1"/>
  </cols>
  <sheetData>
    <row r="1" spans="1:6" ht="36" x14ac:dyDescent="0.25">
      <c r="A1" s="110" t="s">
        <v>126</v>
      </c>
      <c r="B1" s="110" t="s">
        <v>193</v>
      </c>
      <c r="C1" s="110" t="s">
        <v>190</v>
      </c>
      <c r="D1" s="110" t="s">
        <v>191</v>
      </c>
      <c r="E1" s="110" t="s">
        <v>192</v>
      </c>
      <c r="F1" s="110" t="s">
        <v>11</v>
      </c>
    </row>
    <row r="2" spans="1:6" x14ac:dyDescent="0.25">
      <c r="A2" s="111" t="s">
        <v>4</v>
      </c>
      <c r="B2" s="112">
        <v>669023799.10181284</v>
      </c>
      <c r="C2" s="112">
        <v>295808043.40452057</v>
      </c>
      <c r="D2" s="112">
        <v>110582446.13253106</v>
      </c>
      <c r="E2" s="112">
        <v>306866288.01777369</v>
      </c>
      <c r="F2" s="112">
        <v>1382280576.6566381</v>
      </c>
    </row>
    <row r="3" spans="1:6" ht="36" x14ac:dyDescent="0.25">
      <c r="A3" s="111" t="s">
        <v>128</v>
      </c>
      <c r="B3" s="112">
        <v>449183375.74096823</v>
      </c>
      <c r="C3" s="112">
        <v>198605872.74497354</v>
      </c>
      <c r="D3" s="112">
        <v>74245186.072887316</v>
      </c>
      <c r="E3" s="112">
        <v>206030391.35226229</v>
      </c>
      <c r="F3" s="112">
        <v>928064825.91109145</v>
      </c>
    </row>
    <row r="4" spans="1:6" ht="24" x14ac:dyDescent="0.25">
      <c r="A4" s="111" t="s">
        <v>129</v>
      </c>
      <c r="B4" s="112">
        <v>137042609.04841432</v>
      </c>
      <c r="C4" s="112">
        <v>60593219.703224517</v>
      </c>
      <c r="D4" s="112">
        <v>22651670.917093277</v>
      </c>
      <c r="E4" s="112">
        <v>62858386.794933848</v>
      </c>
      <c r="F4" s="112">
        <v>283145886.46366596</v>
      </c>
    </row>
    <row r="5" spans="1:6" ht="24" x14ac:dyDescent="0.25">
      <c r="A5" s="111" t="s">
        <v>130</v>
      </c>
      <c r="B5" s="112">
        <v>149120985.31081048</v>
      </c>
      <c r="C5" s="112">
        <v>65933658.79444927</v>
      </c>
      <c r="D5" s="112">
        <v>24648096.745588511</v>
      </c>
      <c r="E5" s="112">
        <v>68398468.469008118</v>
      </c>
      <c r="F5" s="112">
        <v>308101209.31985641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7" workbookViewId="0">
      <selection activeCell="B24" sqref="B24"/>
    </sheetView>
  </sheetViews>
  <sheetFormatPr baseColWidth="10" defaultRowHeight="15" x14ac:dyDescent="0.25"/>
  <cols>
    <col min="1" max="1" width="17.5703125" style="48" bestFit="1" customWidth="1"/>
    <col min="2" max="2" width="11.28515625" style="48" customWidth="1"/>
    <col min="3" max="16384" width="11.42578125" style="48"/>
  </cols>
  <sheetData>
    <row r="1" spans="1:2" ht="30" x14ac:dyDescent="0.25">
      <c r="A1" s="2" t="s">
        <v>59</v>
      </c>
      <c r="B1" s="2" t="s">
        <v>60</v>
      </c>
    </row>
    <row r="2" spans="1:2" x14ac:dyDescent="0.25">
      <c r="A2" s="3" t="s">
        <v>13</v>
      </c>
      <c r="B2" s="50">
        <v>-1542608</v>
      </c>
    </row>
    <row r="3" spans="1:2" x14ac:dyDescent="0.25">
      <c r="A3" s="3" t="s">
        <v>16</v>
      </c>
      <c r="B3" s="50">
        <v>1188166</v>
      </c>
    </row>
    <row r="4" spans="1:2" x14ac:dyDescent="0.25">
      <c r="A4" s="3" t="s">
        <v>17</v>
      </c>
      <c r="B4" s="50">
        <v>-1182413</v>
      </c>
    </row>
    <row r="5" spans="1:2" x14ac:dyDescent="0.25">
      <c r="A5" s="2" t="s">
        <v>61</v>
      </c>
      <c r="B5" s="49">
        <f>SUM(B2:B4)</f>
        <v>-1536855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2" sqref="D2"/>
    </sheetView>
  </sheetViews>
  <sheetFormatPr baseColWidth="10" defaultRowHeight="15" x14ac:dyDescent="0.25"/>
  <cols>
    <col min="1" max="1" width="6.140625" bestFit="1" customWidth="1"/>
    <col min="2" max="2" width="8" bestFit="1" customWidth="1"/>
    <col min="3" max="3" width="10.7109375" bestFit="1" customWidth="1"/>
    <col min="4" max="4" width="10.140625" bestFit="1" customWidth="1"/>
    <col min="5" max="5" width="11.7109375" bestFit="1" customWidth="1"/>
  </cols>
  <sheetData>
    <row r="1" spans="1:5" x14ac:dyDescent="0.25">
      <c r="A1" s="41" t="s">
        <v>43</v>
      </c>
      <c r="B1" s="41" t="s">
        <v>46</v>
      </c>
      <c r="C1" s="41" t="s">
        <v>44</v>
      </c>
      <c r="D1" s="41" t="s">
        <v>47</v>
      </c>
      <c r="E1" s="41" t="s">
        <v>45</v>
      </c>
    </row>
    <row r="2" spans="1:5" x14ac:dyDescent="0.25">
      <c r="A2" s="39">
        <v>1999</v>
      </c>
      <c r="B2" s="39">
        <v>66</v>
      </c>
      <c r="C2" s="39">
        <v>65.900000000000006</v>
      </c>
      <c r="D2" s="40">
        <v>24090000</v>
      </c>
      <c r="E2" s="40">
        <v>24053000</v>
      </c>
    </row>
    <row r="3" spans="1:5" x14ac:dyDescent="0.25">
      <c r="A3" s="39">
        <v>2000</v>
      </c>
      <c r="B3" s="39">
        <v>52</v>
      </c>
      <c r="C3" s="39">
        <v>51</v>
      </c>
      <c r="D3" s="40">
        <v>19032000</v>
      </c>
      <c r="E3" s="40">
        <v>18666000</v>
      </c>
    </row>
    <row r="4" spans="1:5" x14ac:dyDescent="0.25">
      <c r="A4" s="39">
        <v>2001</v>
      </c>
      <c r="B4" s="39">
        <v>48</v>
      </c>
      <c r="C4" s="39">
        <v>54</v>
      </c>
      <c r="D4" s="40">
        <v>17520000</v>
      </c>
      <c r="E4" s="40">
        <v>19710000</v>
      </c>
    </row>
    <row r="5" spans="1:5" x14ac:dyDescent="0.25">
      <c r="A5" s="39">
        <v>2002</v>
      </c>
      <c r="B5" s="39">
        <v>46</v>
      </c>
      <c r="C5" s="39">
        <v>39</v>
      </c>
      <c r="D5" s="40">
        <v>16790000</v>
      </c>
      <c r="E5" s="40">
        <v>14235000</v>
      </c>
    </row>
    <row r="6" spans="1:5" x14ac:dyDescent="0.25">
      <c r="A6" s="39">
        <v>2003</v>
      </c>
      <c r="B6" s="39">
        <v>53</v>
      </c>
      <c r="C6" s="39">
        <v>32</v>
      </c>
      <c r="D6" s="40">
        <v>19345000</v>
      </c>
      <c r="E6" s="40">
        <v>11680000</v>
      </c>
    </row>
    <row r="7" spans="1:5" x14ac:dyDescent="0.25">
      <c r="A7" s="39">
        <v>2004</v>
      </c>
      <c r="B7" s="39">
        <v>48</v>
      </c>
      <c r="C7" s="39">
        <v>24</v>
      </c>
      <c r="D7" s="40">
        <v>17568000</v>
      </c>
      <c r="E7" s="40">
        <v>8784000</v>
      </c>
    </row>
    <row r="8" spans="1:5" x14ac:dyDescent="0.25">
      <c r="A8" s="39">
        <v>2005</v>
      </c>
      <c r="B8" s="39">
        <v>41</v>
      </c>
      <c r="C8" s="39">
        <v>19</v>
      </c>
      <c r="D8" s="40">
        <v>14965000</v>
      </c>
      <c r="E8" s="40">
        <v>6935000</v>
      </c>
    </row>
    <row r="9" spans="1:5" x14ac:dyDescent="0.25">
      <c r="A9" s="39">
        <v>2006</v>
      </c>
      <c r="B9" s="39">
        <v>34</v>
      </c>
      <c r="C9" s="39">
        <v>13</v>
      </c>
      <c r="D9" s="40">
        <v>12410000</v>
      </c>
      <c r="E9" s="40">
        <v>4745000</v>
      </c>
    </row>
    <row r="10" spans="1:5" x14ac:dyDescent="0.25">
      <c r="A10" s="39">
        <v>2007</v>
      </c>
      <c r="B10" s="39">
        <v>28</v>
      </c>
      <c r="C10" s="39">
        <v>10</v>
      </c>
      <c r="D10" s="40">
        <v>10220000</v>
      </c>
      <c r="E10" s="40">
        <v>3650000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4" sqref="E14"/>
    </sheetView>
  </sheetViews>
  <sheetFormatPr baseColWidth="10" defaultColWidth="10.42578125" defaultRowHeight="15" x14ac:dyDescent="0.25"/>
  <cols>
    <col min="1" max="1" width="5" bestFit="1" customWidth="1"/>
    <col min="2" max="2" width="7" bestFit="1" customWidth="1"/>
    <col min="3" max="3" width="5.42578125" bestFit="1" customWidth="1"/>
    <col min="4" max="4" width="6.140625" bestFit="1" customWidth="1"/>
    <col min="5" max="5" width="8.42578125" customWidth="1"/>
    <col min="6" max="6" width="11.140625" customWidth="1"/>
  </cols>
  <sheetData>
    <row r="1" spans="1:6" x14ac:dyDescent="0.25">
      <c r="A1" s="176" t="s">
        <v>29</v>
      </c>
      <c r="B1" s="177" t="s">
        <v>62</v>
      </c>
      <c r="C1" s="177"/>
      <c r="D1" s="177"/>
      <c r="E1" s="178" t="s">
        <v>63</v>
      </c>
      <c r="F1" s="177" t="s">
        <v>64</v>
      </c>
    </row>
    <row r="2" spans="1:6" ht="24" customHeight="1" x14ac:dyDescent="0.25">
      <c r="A2" s="176"/>
      <c r="B2" s="51" t="s">
        <v>65</v>
      </c>
      <c r="C2" s="51" t="s">
        <v>66</v>
      </c>
      <c r="D2" s="51" t="s">
        <v>67</v>
      </c>
      <c r="E2" s="178"/>
      <c r="F2" s="177"/>
    </row>
    <row r="3" spans="1:6" x14ac:dyDescent="0.25">
      <c r="A3" s="52">
        <v>1999</v>
      </c>
      <c r="B3" s="52">
        <v>65.286000000000001</v>
      </c>
      <c r="C3" s="52">
        <v>0.33700000000000002</v>
      </c>
      <c r="D3" s="53">
        <v>66</v>
      </c>
      <c r="E3" s="54">
        <v>66</v>
      </c>
      <c r="F3" s="55">
        <f>D3-E3</f>
        <v>0</v>
      </c>
    </row>
    <row r="4" spans="1:6" x14ac:dyDescent="0.25">
      <c r="A4" s="52">
        <v>2000</v>
      </c>
      <c r="B4" s="52">
        <v>51.572000000000003</v>
      </c>
      <c r="C4" s="52">
        <v>0.441</v>
      </c>
      <c r="D4" s="53">
        <f>B4+C4</f>
        <v>52.013000000000005</v>
      </c>
      <c r="E4" s="56">
        <v>52</v>
      </c>
      <c r="F4" s="55">
        <f t="shared" ref="F4:F11" si="0">D4-E4</f>
        <v>1.300000000000523E-2</v>
      </c>
    </row>
    <row r="5" spans="1:6" x14ac:dyDescent="0.25">
      <c r="A5" s="52">
        <v>2001</v>
      </c>
      <c r="B5" s="52">
        <v>48.01</v>
      </c>
      <c r="C5" s="52">
        <v>0.48499999999999999</v>
      </c>
      <c r="D5" s="53">
        <f t="shared" ref="D5:D9" si="1">B5+C5</f>
        <v>48.494999999999997</v>
      </c>
      <c r="E5" s="54">
        <v>48</v>
      </c>
      <c r="F5" s="55">
        <f t="shared" si="0"/>
        <v>0.49499999999999744</v>
      </c>
    </row>
    <row r="6" spans="1:6" x14ac:dyDescent="0.25">
      <c r="A6" s="52">
        <v>2002</v>
      </c>
      <c r="B6" s="52">
        <v>46.1</v>
      </c>
      <c r="C6" s="52">
        <v>6.7</v>
      </c>
      <c r="D6" s="57">
        <v>52.7</v>
      </c>
      <c r="E6" s="54">
        <v>46</v>
      </c>
      <c r="F6" s="55">
        <f t="shared" si="0"/>
        <v>6.7000000000000028</v>
      </c>
    </row>
    <row r="7" spans="1:6" x14ac:dyDescent="0.25">
      <c r="A7" s="52">
        <v>2003</v>
      </c>
      <c r="B7" s="52">
        <v>53.3</v>
      </c>
      <c r="C7" s="52">
        <v>7.4</v>
      </c>
      <c r="D7" s="57">
        <v>60.6</v>
      </c>
      <c r="E7" s="54">
        <v>53</v>
      </c>
      <c r="F7" s="55">
        <f t="shared" si="0"/>
        <v>7.6000000000000014</v>
      </c>
    </row>
    <row r="8" spans="1:6" x14ac:dyDescent="0.25">
      <c r="A8" s="52">
        <v>2004</v>
      </c>
      <c r="B8" s="57">
        <v>47.8</v>
      </c>
      <c r="C8" s="52">
        <v>10.3</v>
      </c>
      <c r="D8" s="57">
        <v>58.2</v>
      </c>
      <c r="E8" s="54">
        <v>48</v>
      </c>
      <c r="F8" s="55">
        <f t="shared" si="0"/>
        <v>10.200000000000003</v>
      </c>
    </row>
    <row r="9" spans="1:6" x14ac:dyDescent="0.25">
      <c r="A9" s="52">
        <v>2005</v>
      </c>
      <c r="B9" s="52">
        <v>40.6</v>
      </c>
      <c r="C9" s="52">
        <v>14.6</v>
      </c>
      <c r="D9" s="57">
        <f t="shared" si="1"/>
        <v>55.2</v>
      </c>
      <c r="E9" s="54">
        <v>41</v>
      </c>
      <c r="F9" s="55">
        <f t="shared" si="0"/>
        <v>14.200000000000003</v>
      </c>
    </row>
    <row r="10" spans="1:6" x14ac:dyDescent="0.25">
      <c r="A10" s="52">
        <v>2006</v>
      </c>
      <c r="B10" s="52">
        <v>34.299999999999997</v>
      </c>
      <c r="C10" s="52">
        <v>15.9</v>
      </c>
      <c r="D10" s="53">
        <v>50.1</v>
      </c>
      <c r="E10" s="54">
        <v>34</v>
      </c>
      <c r="F10" s="55">
        <f t="shared" si="0"/>
        <v>16.100000000000001</v>
      </c>
    </row>
    <row r="11" spans="1:6" x14ac:dyDescent="0.25">
      <c r="A11" s="52">
        <v>2007</v>
      </c>
      <c r="B11" s="52">
        <v>28.2</v>
      </c>
      <c r="C11" s="52">
        <v>17.899999999999999</v>
      </c>
      <c r="D11" s="57">
        <v>46.1</v>
      </c>
      <c r="E11" s="54">
        <v>28</v>
      </c>
      <c r="F11" s="55">
        <f t="shared" si="0"/>
        <v>18.100000000000001</v>
      </c>
    </row>
  </sheetData>
  <mergeCells count="4">
    <mergeCell ref="A1:A2"/>
    <mergeCell ref="B1:D1"/>
    <mergeCell ref="E1:E2"/>
    <mergeCell ref="F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6" sqref="C6"/>
    </sheetView>
  </sheetViews>
  <sheetFormatPr baseColWidth="10" defaultRowHeight="15" x14ac:dyDescent="0.25"/>
  <sheetData>
    <row r="1" spans="1:9" x14ac:dyDescent="0.25">
      <c r="A1" s="116" t="s">
        <v>28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25">
      <c r="A2" s="5">
        <v>1999</v>
      </c>
      <c r="B2" s="5">
        <v>2000</v>
      </c>
      <c r="C2" s="5">
        <v>2001</v>
      </c>
      <c r="D2" s="5">
        <v>2002</v>
      </c>
      <c r="E2" s="5">
        <v>2003</v>
      </c>
      <c r="F2" s="5">
        <v>2004</v>
      </c>
      <c r="G2" s="5">
        <v>2005</v>
      </c>
      <c r="H2" s="5">
        <v>2006</v>
      </c>
      <c r="I2" s="5">
        <v>2007</v>
      </c>
    </row>
    <row r="3" spans="1:9" x14ac:dyDescent="0.25">
      <c r="A3" s="6">
        <v>157202597</v>
      </c>
      <c r="B3" s="6">
        <v>124180609</v>
      </c>
      <c r="C3" s="6">
        <v>109037529</v>
      </c>
      <c r="D3" s="6">
        <v>88711846</v>
      </c>
      <c r="E3" s="6">
        <v>74191256</v>
      </c>
      <c r="F3" s="6">
        <v>60424210</v>
      </c>
      <c r="G3" s="6">
        <v>50077773</v>
      </c>
      <c r="H3" s="6">
        <v>42811031</v>
      </c>
      <c r="I3" s="6">
        <v>34690362</v>
      </c>
    </row>
  </sheetData>
  <mergeCells count="1">
    <mergeCell ref="A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6" sqref="C16"/>
    </sheetView>
  </sheetViews>
  <sheetFormatPr baseColWidth="10" defaultRowHeight="15" x14ac:dyDescent="0.25"/>
  <cols>
    <col min="2" max="2" width="13.5703125" customWidth="1"/>
  </cols>
  <sheetData>
    <row r="1" spans="1:7" ht="25.5" customHeight="1" x14ac:dyDescent="0.25">
      <c r="A1" s="117" t="s">
        <v>29</v>
      </c>
      <c r="B1" s="118" t="s">
        <v>30</v>
      </c>
      <c r="C1" s="120" t="s">
        <v>31</v>
      </c>
      <c r="D1" s="119"/>
      <c r="E1" s="119"/>
      <c r="F1" s="119"/>
      <c r="G1" s="119"/>
    </row>
    <row r="2" spans="1:7" ht="25.5" x14ac:dyDescent="0.25">
      <c r="A2" s="117"/>
      <c r="B2" s="119"/>
      <c r="C2" s="7" t="s">
        <v>32</v>
      </c>
      <c r="D2" s="7" t="s">
        <v>33</v>
      </c>
      <c r="E2" s="7" t="s">
        <v>34</v>
      </c>
      <c r="F2" s="7" t="s">
        <v>35</v>
      </c>
      <c r="G2" s="7" t="s">
        <v>4</v>
      </c>
    </row>
    <row r="3" spans="1:7" x14ac:dyDescent="0.25">
      <c r="A3" s="8">
        <v>1999</v>
      </c>
      <c r="B3" s="9">
        <v>156986434</v>
      </c>
      <c r="C3" s="10">
        <v>31397287</v>
      </c>
      <c r="D3" s="11">
        <v>23861938</v>
      </c>
      <c r="E3" s="12">
        <v>23861938</v>
      </c>
      <c r="F3" s="13" t="s">
        <v>36</v>
      </c>
      <c r="G3" s="14">
        <v>62794573</v>
      </c>
    </row>
    <row r="4" spans="1:7" x14ac:dyDescent="0.25">
      <c r="A4" s="8">
        <v>2000</v>
      </c>
      <c r="B4" s="15">
        <v>124015532</v>
      </c>
      <c r="C4" s="16">
        <v>24803106</v>
      </c>
      <c r="D4" s="16">
        <v>18888592</v>
      </c>
      <c r="E4" s="16">
        <v>18815771</v>
      </c>
      <c r="F4" s="16">
        <v>11901850</v>
      </c>
      <c r="G4" s="16">
        <v>49606213</v>
      </c>
    </row>
    <row r="5" spans="1:7" x14ac:dyDescent="0.25">
      <c r="A5" s="8">
        <v>2001</v>
      </c>
      <c r="B5" s="17">
        <v>108893139</v>
      </c>
      <c r="C5" s="16">
        <v>21778628</v>
      </c>
      <c r="D5" s="18">
        <v>17522527</v>
      </c>
      <c r="E5" s="16">
        <v>15832124</v>
      </c>
      <c r="F5" s="18">
        <v>10202605</v>
      </c>
      <c r="G5" s="19">
        <v>43557255</v>
      </c>
    </row>
    <row r="6" spans="1:7" x14ac:dyDescent="0.25">
      <c r="A6" s="8">
        <v>2002</v>
      </c>
      <c r="B6" s="9">
        <v>88563676</v>
      </c>
      <c r="C6" s="16">
        <v>17712735</v>
      </c>
      <c r="D6" s="20">
        <v>16121848</v>
      </c>
      <c r="E6" s="12">
        <v>11395484</v>
      </c>
      <c r="F6" s="12">
        <v>7908138</v>
      </c>
      <c r="G6" s="21">
        <v>35425470</v>
      </c>
    </row>
    <row r="7" spans="1:7" x14ac:dyDescent="0.25">
      <c r="A7" s="8">
        <v>2003</v>
      </c>
      <c r="B7" s="22">
        <v>74069353</v>
      </c>
      <c r="C7" s="23">
        <v>14813871</v>
      </c>
      <c r="D7" s="16">
        <v>13647429</v>
      </c>
      <c r="E7" s="19">
        <v>9381082</v>
      </c>
      <c r="F7" s="12">
        <v>6599230</v>
      </c>
      <c r="G7" s="24">
        <v>29627741</v>
      </c>
    </row>
    <row r="8" spans="1:7" x14ac:dyDescent="0.25">
      <c r="A8" s="8">
        <v>2004</v>
      </c>
      <c r="B8" s="17">
        <v>60312540</v>
      </c>
      <c r="C8" s="25" t="s">
        <v>37</v>
      </c>
      <c r="D8" s="16">
        <v>12010211</v>
      </c>
      <c r="E8" s="19">
        <v>6895887</v>
      </c>
      <c r="F8" s="26">
        <v>5218918</v>
      </c>
      <c r="G8" s="20">
        <v>24125016</v>
      </c>
    </row>
    <row r="9" spans="1:7" x14ac:dyDescent="0.25">
      <c r="A9" s="8">
        <v>2005</v>
      </c>
      <c r="B9" s="27">
        <v>49934991</v>
      </c>
      <c r="C9" s="12">
        <v>9986998</v>
      </c>
      <c r="D9" s="11">
        <v>10240310</v>
      </c>
      <c r="E9" s="28">
        <v>5490493</v>
      </c>
      <c r="F9" s="29" t="s">
        <v>38</v>
      </c>
      <c r="G9" s="21">
        <v>19973997</v>
      </c>
    </row>
    <row r="10" spans="1:7" x14ac:dyDescent="0.25">
      <c r="A10" s="8">
        <v>2006</v>
      </c>
      <c r="B10" s="30">
        <v>42697143</v>
      </c>
      <c r="C10" s="16">
        <v>8539429</v>
      </c>
      <c r="D10" s="23">
        <v>8657417</v>
      </c>
      <c r="E10" s="11">
        <v>4760089</v>
      </c>
      <c r="F10" s="18">
        <v>3661352</v>
      </c>
      <c r="G10" s="12">
        <v>17078857</v>
      </c>
    </row>
    <row r="11" spans="1:7" x14ac:dyDescent="0.25">
      <c r="A11" s="8">
        <v>2007</v>
      </c>
      <c r="B11" s="31">
        <v>34595921</v>
      </c>
      <c r="C11" s="11">
        <v>6919184</v>
      </c>
      <c r="D11" s="28">
        <v>7261278</v>
      </c>
      <c r="E11" s="19">
        <v>3660347</v>
      </c>
      <c r="F11" s="11">
        <v>2916743</v>
      </c>
      <c r="G11" s="24">
        <v>13838368</v>
      </c>
    </row>
  </sheetData>
  <mergeCells count="3">
    <mergeCell ref="A1:A2"/>
    <mergeCell ref="B1:B2"/>
    <mergeCell ref="C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3" sqref="C13"/>
    </sheetView>
  </sheetViews>
  <sheetFormatPr baseColWidth="10" defaultRowHeight="15" x14ac:dyDescent="0.25"/>
  <cols>
    <col min="2" max="2" width="15.7109375" customWidth="1"/>
    <col min="3" max="3" width="14.5703125" customWidth="1"/>
    <col min="4" max="4" width="15.85546875" customWidth="1"/>
  </cols>
  <sheetData>
    <row r="1" spans="1:4" ht="42.75" x14ac:dyDescent="0.25">
      <c r="A1" s="32" t="s">
        <v>29</v>
      </c>
      <c r="B1" s="33" t="s">
        <v>39</v>
      </c>
      <c r="C1" s="33" t="s">
        <v>40</v>
      </c>
      <c r="D1" s="34" t="s">
        <v>41</v>
      </c>
    </row>
    <row r="2" spans="1:4" x14ac:dyDescent="0.25">
      <c r="A2" s="35">
        <v>1999</v>
      </c>
      <c r="B2" s="36">
        <v>156986435</v>
      </c>
      <c r="C2" s="36">
        <v>156986434</v>
      </c>
      <c r="D2" s="37">
        <f>B2-C2</f>
        <v>1</v>
      </c>
    </row>
    <row r="3" spans="1:4" x14ac:dyDescent="0.25">
      <c r="A3" s="35">
        <v>2000</v>
      </c>
      <c r="B3" s="36">
        <v>124015531</v>
      </c>
      <c r="C3" s="36">
        <v>124015532</v>
      </c>
      <c r="D3" s="37">
        <f t="shared" ref="D3:D10" si="0">B3-C3</f>
        <v>-1</v>
      </c>
    </row>
    <row r="4" spans="1:4" x14ac:dyDescent="0.25">
      <c r="A4" s="35">
        <v>2001</v>
      </c>
      <c r="B4" s="36">
        <v>108896567</v>
      </c>
      <c r="C4" s="36">
        <v>108893139</v>
      </c>
      <c r="D4" s="37">
        <f t="shared" si="0"/>
        <v>3428</v>
      </c>
    </row>
    <row r="5" spans="1:4" x14ac:dyDescent="0.25">
      <c r="A5" s="35">
        <v>2002</v>
      </c>
      <c r="B5" s="36">
        <v>88545335</v>
      </c>
      <c r="C5" s="36">
        <v>88563676</v>
      </c>
      <c r="D5" s="37">
        <f t="shared" si="0"/>
        <v>-18341</v>
      </c>
    </row>
    <row r="6" spans="1:4" x14ac:dyDescent="0.25">
      <c r="A6" s="35">
        <v>2003</v>
      </c>
      <c r="B6" s="36">
        <v>74069351</v>
      </c>
      <c r="C6" s="36">
        <v>74069353</v>
      </c>
      <c r="D6" s="37">
        <f t="shared" si="0"/>
        <v>-2</v>
      </c>
    </row>
    <row r="7" spans="1:4" x14ac:dyDescent="0.25">
      <c r="A7" s="35">
        <v>2004</v>
      </c>
      <c r="B7" s="36">
        <v>60394145</v>
      </c>
      <c r="C7" s="36">
        <v>60312540</v>
      </c>
      <c r="D7" s="37">
        <f t="shared" si="0"/>
        <v>81605</v>
      </c>
    </row>
    <row r="8" spans="1:4" x14ac:dyDescent="0.25">
      <c r="A8" s="35">
        <v>2005</v>
      </c>
      <c r="B8" s="36">
        <v>49935066</v>
      </c>
      <c r="C8" s="36">
        <v>49934991</v>
      </c>
      <c r="D8" s="37">
        <f t="shared" si="0"/>
        <v>75</v>
      </c>
    </row>
    <row r="9" spans="1:4" x14ac:dyDescent="0.25">
      <c r="A9" s="35">
        <v>2006</v>
      </c>
      <c r="B9" s="36">
        <v>42697146</v>
      </c>
      <c r="C9" s="36">
        <v>42697143</v>
      </c>
      <c r="D9" s="37">
        <f t="shared" si="0"/>
        <v>3</v>
      </c>
    </row>
    <row r="10" spans="1:4" x14ac:dyDescent="0.25">
      <c r="A10" s="35">
        <v>2007</v>
      </c>
      <c r="B10" s="36">
        <v>34289176</v>
      </c>
      <c r="C10" s="36">
        <v>34595921</v>
      </c>
      <c r="D10" s="37">
        <f t="shared" si="0"/>
        <v>-306745</v>
      </c>
    </row>
    <row r="11" spans="1:4" x14ac:dyDescent="0.25">
      <c r="A11" s="121" t="s">
        <v>42</v>
      </c>
      <c r="B11" s="121"/>
      <c r="C11" s="121"/>
      <c r="D11" s="38">
        <f>SUM(D2:D10)</f>
        <v>-239977</v>
      </c>
    </row>
  </sheetData>
  <mergeCells count="1"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Tabla N 1</vt:lpstr>
      <vt:lpstr>Tabla N 2</vt:lpstr>
      <vt:lpstr>Tabla N 3</vt:lpstr>
      <vt:lpstr>Tabla N 4</vt:lpstr>
      <vt:lpstr>Tabla N 5</vt:lpstr>
      <vt:lpstr>Tabla N° 6</vt:lpstr>
      <vt:lpstr>Tabla N 7</vt:lpstr>
      <vt:lpstr>Tabla N 8</vt:lpstr>
      <vt:lpstr>Tabla N 9</vt:lpstr>
      <vt:lpstr>Tabla N 10</vt:lpstr>
      <vt:lpstr>Tabla N 11</vt:lpstr>
      <vt:lpstr>Tabla N 12</vt:lpstr>
      <vt:lpstr>Tabla N 13</vt:lpstr>
      <vt:lpstr>Tabla N 14</vt:lpstr>
      <vt:lpstr>Tabla N 15</vt:lpstr>
      <vt:lpstr>Tabla N 16</vt:lpstr>
      <vt:lpstr>Tabla N 17</vt:lpstr>
      <vt:lpstr>Tabla N 18</vt:lpstr>
      <vt:lpstr>Tabla N 19</vt:lpstr>
      <vt:lpstr>Tabla N° 20</vt:lpstr>
      <vt:lpstr>Tabla N 21</vt:lpstr>
      <vt:lpstr>Tabla N° 22</vt:lpstr>
      <vt:lpstr>Tabla N 23</vt:lpstr>
      <vt:lpstr>Tabla N 24</vt:lpstr>
      <vt:lpstr>Tabla N 25</vt:lpstr>
      <vt:lpstr>Tabla N 26</vt:lpstr>
      <vt:lpstr>Tabla N 27</vt:lpstr>
      <vt:lpstr>Tabla N 28</vt:lpstr>
      <vt:lpstr>Tabla N 29</vt:lpstr>
      <vt:lpstr>Tabla N 30</vt:lpstr>
      <vt:lpstr>Tabla N° 31</vt:lpstr>
      <vt:lpstr>Tabla N° 32</vt:lpstr>
      <vt:lpstr>Tabla N° 33</vt:lpstr>
      <vt:lpstr>Tabla N° 34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jaiver tarache</dc:creator>
  <cp:lastModifiedBy>jaiver tarache</cp:lastModifiedBy>
  <dcterms:created xsi:type="dcterms:W3CDTF">2021-08-05T09:41:56Z</dcterms:created>
  <dcterms:modified xsi:type="dcterms:W3CDTF">2021-08-06T18:33:47Z</dcterms:modified>
</cp:coreProperties>
</file>