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D:\Users\mdurangca\Downloads\"/>
    </mc:Choice>
  </mc:AlternateContent>
  <xr:revisionPtr revIDLastSave="0" documentId="11_E961ACDC52A53AAF02E35850697204FA3AD38E88" xr6:coauthVersionLast="47" xr6:coauthVersionMax="47" xr10:uidLastSave="{00000000-0000-0000-0000-000000000000}"/>
  <bookViews>
    <workbookView xWindow="0" yWindow="0" windowWidth="24000" windowHeight="9480" xr2:uid="{00000000-000D-0000-FFFF-FFFF00000000}"/>
  </bookViews>
  <sheets>
    <sheet name="Medellí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AA5" i="1"/>
  <c r="AA6" i="1"/>
  <c r="AA7" i="1"/>
  <c r="AA8" i="1"/>
  <c r="AA9" i="1"/>
  <c r="AA10" i="1"/>
  <c r="AA4" i="1"/>
  <c r="Z5" i="1"/>
  <c r="Z6" i="1"/>
  <c r="Z7" i="1"/>
  <c r="Z8" i="1"/>
  <c r="Z9" i="1"/>
  <c r="Z10" i="1"/>
  <c r="Z4" i="1"/>
  <c r="Y5" i="1"/>
  <c r="Y6" i="1"/>
  <c r="Y7" i="1"/>
  <c r="Y8" i="1"/>
  <c r="Y9" i="1"/>
  <c r="Y10" i="1"/>
  <c r="Y4" i="1"/>
  <c r="X5" i="1"/>
  <c r="X6" i="1"/>
  <c r="X7" i="1"/>
  <c r="X8" i="1"/>
  <c r="X9" i="1"/>
  <c r="X10" i="1"/>
  <c r="U5" i="1"/>
  <c r="U6" i="1"/>
  <c r="U7" i="1"/>
  <c r="U8" i="1"/>
  <c r="U9" i="1"/>
  <c r="U10" i="1"/>
  <c r="T5" i="1"/>
  <c r="T6" i="1"/>
  <c r="T7" i="1"/>
  <c r="T8" i="1"/>
  <c r="T9" i="1"/>
  <c r="T10" i="1"/>
  <c r="W5" i="1"/>
  <c r="W6" i="1"/>
  <c r="W7" i="1"/>
  <c r="W8" i="1"/>
  <c r="W9" i="1"/>
  <c r="W10" i="1"/>
  <c r="X4" i="1"/>
  <c r="W4" i="1"/>
  <c r="V5" i="1"/>
  <c r="V6" i="1"/>
  <c r="V7" i="1"/>
  <c r="V8" i="1"/>
  <c r="V9" i="1"/>
  <c r="V10" i="1"/>
  <c r="V4" i="1"/>
  <c r="U4" i="1"/>
  <c r="S6" i="1"/>
  <c r="S7" i="1"/>
  <c r="S8" i="1"/>
  <c r="S9" i="1"/>
  <c r="S10" i="1"/>
  <c r="S5" i="1"/>
  <c r="S4" i="1"/>
  <c r="M6" i="1" l="1"/>
  <c r="M7" i="1"/>
  <c r="M8" i="1"/>
  <c r="M9" i="1"/>
  <c r="M10" i="1"/>
  <c r="K10" i="1"/>
  <c r="K9" i="1"/>
  <c r="K8" i="1"/>
  <c r="K7" i="1"/>
  <c r="K6" i="1"/>
  <c r="K5" i="1"/>
  <c r="K4" i="1"/>
  <c r="J10" i="1"/>
  <c r="J9" i="1"/>
  <c r="J8" i="1"/>
  <c r="J7" i="1"/>
  <c r="J6" i="1"/>
  <c r="J5" i="1"/>
  <c r="J4" i="1"/>
  <c r="K46" i="1" l="1"/>
  <c r="K54" i="1" s="1"/>
  <c r="J46" i="1"/>
  <c r="J54" i="1" s="1"/>
  <c r="I46" i="1"/>
  <c r="K45" i="1"/>
  <c r="K53" i="1" s="1"/>
  <c r="J45" i="1"/>
  <c r="J53" i="1" s="1"/>
  <c r="I45" i="1"/>
  <c r="I53" i="1" s="1"/>
  <c r="K44" i="1"/>
  <c r="K52" i="1" s="1"/>
  <c r="J44" i="1"/>
  <c r="J52" i="1" s="1"/>
  <c r="I44" i="1"/>
  <c r="I52" i="1" s="1"/>
  <c r="K43" i="1"/>
  <c r="K51" i="1" s="1"/>
  <c r="J43" i="1"/>
  <c r="J51" i="1" s="1"/>
  <c r="I43" i="1"/>
  <c r="I51" i="1" s="1"/>
  <c r="K42" i="1"/>
  <c r="K50" i="1" s="1"/>
  <c r="J42" i="1"/>
  <c r="J50" i="1" s="1"/>
  <c r="I42" i="1"/>
  <c r="K41" i="1"/>
  <c r="K49" i="1" s="1"/>
  <c r="J41" i="1"/>
  <c r="J49" i="1" s="1"/>
  <c r="I41" i="1"/>
  <c r="I49" i="1" s="1"/>
  <c r="K40" i="1"/>
  <c r="K48" i="1" s="1"/>
  <c r="J40" i="1"/>
  <c r="J48" i="1" s="1"/>
  <c r="I40" i="1"/>
  <c r="I48" i="1" s="1"/>
  <c r="J15" i="1"/>
  <c r="J17" i="1" s="1"/>
  <c r="J13" i="1"/>
  <c r="I10" i="1"/>
  <c r="I9" i="1"/>
  <c r="I8" i="1"/>
  <c r="I7" i="1"/>
  <c r="I6" i="1"/>
  <c r="I5" i="1"/>
  <c r="I4" i="1"/>
  <c r="Q49" i="1"/>
  <c r="Q48" i="1"/>
  <c r="L41" i="1"/>
  <c r="L49" i="1"/>
  <c r="L42" i="1"/>
  <c r="L50" i="1" s="1"/>
  <c r="L43" i="1"/>
  <c r="L51" i="1" s="1"/>
  <c r="L44" i="1"/>
  <c r="L52" i="1" s="1"/>
  <c r="L45" i="1"/>
  <c r="L53" i="1" s="1"/>
  <c r="L46" i="1"/>
  <c r="L54" i="1" s="1"/>
  <c r="L40" i="1"/>
  <c r="L48" i="1" s="1"/>
  <c r="N46" i="1"/>
  <c r="N54" i="1" s="1"/>
  <c r="M46" i="1"/>
  <c r="N45" i="1"/>
  <c r="N53" i="1" s="1"/>
  <c r="M45" i="1"/>
  <c r="M53" i="1" s="1"/>
  <c r="N44" i="1"/>
  <c r="N52" i="1" s="1"/>
  <c r="M44" i="1"/>
  <c r="M52" i="1" s="1"/>
  <c r="N43" i="1"/>
  <c r="N51" i="1" s="1"/>
  <c r="M43" i="1"/>
  <c r="M51" i="1" s="1"/>
  <c r="N42" i="1"/>
  <c r="N50" i="1" s="1"/>
  <c r="M42" i="1"/>
  <c r="M50" i="1" s="1"/>
  <c r="N41" i="1"/>
  <c r="N49" i="1" s="1"/>
  <c r="M41" i="1"/>
  <c r="M49" i="1" s="1"/>
  <c r="N40" i="1"/>
  <c r="N48" i="1" s="1"/>
  <c r="M40" i="1"/>
  <c r="M48" i="1" s="1"/>
  <c r="M54" i="1"/>
  <c r="M15" i="1"/>
  <c r="M17" i="1" s="1"/>
  <c r="M13" i="1"/>
  <c r="Q13" i="1"/>
  <c r="P17" i="1"/>
  <c r="O16" i="1"/>
  <c r="R17" i="1"/>
  <c r="S17" i="1" s="1"/>
  <c r="O18" i="1"/>
  <c r="O12" i="1"/>
  <c r="O19" i="1"/>
  <c r="T4" i="1" l="1"/>
  <c r="R49" i="1"/>
  <c r="R18" i="1"/>
  <c r="I50" i="1"/>
  <c r="I54" i="1"/>
  <c r="R48" i="1"/>
</calcChain>
</file>

<file path=xl/sharedStrings.xml><?xml version="1.0" encoding="utf-8"?>
<sst xmlns="http://schemas.openxmlformats.org/spreadsheetml/2006/main" count="70" uniqueCount="23">
  <si>
    <t>COTIZACIÓN 1</t>
  </si>
  <si>
    <t>COTIZACIÓN 2</t>
  </si>
  <si>
    <t>RESOLUCIÓN DESAJMER23-9198*
Actualizada al IPC 2023 9,28%</t>
  </si>
  <si>
    <t>RESOLUCIÓN 2017600000065
Actualizada Meta Inflación 3%</t>
  </si>
  <si>
    <t>ACUERDO 108 DE 2019</t>
  </si>
  <si>
    <t>VALORES PROMEDIOS</t>
  </si>
  <si>
    <t>TIPO DE VEHICULO</t>
  </si>
  <si>
    <t>VALOR MES ANTES DE IVA</t>
  </si>
  <si>
    <t>TARIFA DIA/NOCHE</t>
  </si>
  <si>
    <t xml:space="preserve">TARIFA HORA O FRACCION </t>
  </si>
  <si>
    <t>IVA</t>
  </si>
  <si>
    <t>VALOR CON IVA</t>
  </si>
  <si>
    <t>CARRO AUTOMOVIL</t>
  </si>
  <si>
    <t xml:space="preserve">MOTO </t>
  </si>
  <si>
    <t xml:space="preserve">CAMIONETAS </t>
  </si>
  <si>
    <t>CAMION 1 EJE</t>
  </si>
  <si>
    <t>CAMION 2 EJES</t>
  </si>
  <si>
    <t>TRACTO CAMIONES</t>
  </si>
  <si>
    <t>REMOLQUES 3 EJES</t>
  </si>
  <si>
    <t xml:space="preserve"> </t>
  </si>
  <si>
    <t>CIRCULAR 201760000065</t>
  </si>
  <si>
    <t>SALARIO MINIMO 2023</t>
  </si>
  <si>
    <t>VR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</si>
</sst>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_-;\-* #,##0_-;_-* &quot;-&quot;??_-;_-@_-"/>
    <numFmt numFmtId="166" formatCode="[$$-240A]\ #,##0"/>
    <numFmt numFmtId="167" formatCode="_-&quot;$&quot;\ * #,##0_-;\-&quot;$&quot;\ * #,##0_-;_-&quot;$&quot;\ * &quot;-&quot;??_-;_-@_-"/>
    <numFmt numFmtId="168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1" fontId="4" fillId="2" borderId="1" xfId="0" applyNumberFormat="1" applyFont="1" applyFill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165" fontId="5" fillId="6" borderId="1" xfId="1" applyNumberFormat="1" applyFont="1" applyFill="1" applyBorder="1" applyAlignment="1"/>
    <xf numFmtId="165" fontId="3" fillId="6" borderId="1" xfId="1" applyNumberFormat="1" applyFont="1" applyFill="1" applyBorder="1" applyAlignment="1"/>
    <xf numFmtId="3" fontId="5" fillId="6" borderId="1" xfId="0" applyNumberFormat="1" applyFont="1" applyFill="1" applyBorder="1" applyAlignment="1">
      <alignment horizontal="center"/>
    </xf>
    <xf numFmtId="165" fontId="5" fillId="6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166" fontId="3" fillId="2" borderId="0" xfId="1" applyNumberFormat="1" applyFont="1" applyFill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0"/>
  <sheetViews>
    <sheetView tabSelected="1" topLeftCell="F1" zoomScale="90" zoomScaleNormal="90" workbookViewId="0">
      <selection activeCell="S69" sqref="S69"/>
    </sheetView>
  </sheetViews>
  <sheetFormatPr defaultColWidth="11.42578125" defaultRowHeight="15"/>
  <cols>
    <col min="1" max="1" width="0" hidden="1" customWidth="1"/>
    <col min="2" max="2" width="19.5703125" bestFit="1" customWidth="1"/>
    <col min="3" max="17" width="11.7109375" style="23" customWidth="1"/>
    <col min="18" max="18" width="20.85546875" customWidth="1"/>
    <col min="19" max="19" width="14" customWidth="1"/>
    <col min="20" max="20" width="9.7109375" customWidth="1"/>
    <col min="23" max="23" width="8.5703125" customWidth="1"/>
    <col min="26" max="26" width="9.5703125" customWidth="1"/>
  </cols>
  <sheetData>
    <row r="2" spans="1:27" s="2" customFormat="1" ht="24.75" customHeight="1">
      <c r="B2" s="1"/>
      <c r="C2" s="40" t="s">
        <v>0</v>
      </c>
      <c r="D2" s="41"/>
      <c r="E2" s="41"/>
      <c r="F2" s="42" t="s">
        <v>1</v>
      </c>
      <c r="G2" s="43"/>
      <c r="H2" s="43"/>
      <c r="I2" s="48" t="s">
        <v>2</v>
      </c>
      <c r="J2" s="39"/>
      <c r="K2" s="39"/>
      <c r="L2" s="44" t="s">
        <v>3</v>
      </c>
      <c r="M2" s="45"/>
      <c r="N2" s="45"/>
      <c r="O2" s="46" t="s">
        <v>4</v>
      </c>
      <c r="P2" s="47"/>
      <c r="Q2" s="47"/>
      <c r="R2" s="35" t="s">
        <v>5</v>
      </c>
      <c r="S2" s="36"/>
      <c r="T2" s="36"/>
      <c r="U2" s="36"/>
      <c r="V2" s="36"/>
      <c r="W2" s="36"/>
      <c r="X2" s="36"/>
      <c r="Y2" s="36"/>
      <c r="Z2" s="36"/>
      <c r="AA2" s="37"/>
    </row>
    <row r="3" spans="1:27" s="2" customFormat="1" ht="38.25">
      <c r="B3" s="3" t="s">
        <v>6</v>
      </c>
      <c r="C3" s="20" t="s">
        <v>7</v>
      </c>
      <c r="D3" s="21" t="s">
        <v>8</v>
      </c>
      <c r="E3" s="20" t="s">
        <v>9</v>
      </c>
      <c r="F3" s="20" t="s">
        <v>7</v>
      </c>
      <c r="G3" s="21" t="s">
        <v>8</v>
      </c>
      <c r="H3" s="20" t="s">
        <v>9</v>
      </c>
      <c r="I3" s="20" t="s">
        <v>7</v>
      </c>
      <c r="J3" s="21" t="s">
        <v>8</v>
      </c>
      <c r="K3" s="20" t="s">
        <v>9</v>
      </c>
      <c r="L3" s="20" t="s">
        <v>7</v>
      </c>
      <c r="M3" s="21" t="s">
        <v>8</v>
      </c>
      <c r="N3" s="20" t="s">
        <v>9</v>
      </c>
      <c r="O3" s="18" t="s">
        <v>7</v>
      </c>
      <c r="P3" s="18" t="s">
        <v>9</v>
      </c>
      <c r="Q3" s="5" t="s">
        <v>8</v>
      </c>
      <c r="R3" s="3" t="s">
        <v>6</v>
      </c>
      <c r="S3" s="12" t="s">
        <v>7</v>
      </c>
      <c r="T3" s="12" t="s">
        <v>10</v>
      </c>
      <c r="U3" s="12" t="s">
        <v>11</v>
      </c>
      <c r="V3" s="6" t="s">
        <v>8</v>
      </c>
      <c r="W3" s="12" t="s">
        <v>10</v>
      </c>
      <c r="X3" s="12" t="s">
        <v>11</v>
      </c>
      <c r="Y3" s="12" t="s">
        <v>9</v>
      </c>
      <c r="Z3" s="12" t="s">
        <v>10</v>
      </c>
      <c r="AA3" s="12" t="s">
        <v>11</v>
      </c>
    </row>
    <row r="4" spans="1:27" s="2" customFormat="1" ht="20.100000000000001" customHeight="1">
      <c r="B4" s="4" t="s">
        <v>12</v>
      </c>
      <c r="C4" s="33">
        <v>568325</v>
      </c>
      <c r="D4" s="33">
        <v>21078</v>
      </c>
      <c r="E4" s="33">
        <v>2961</v>
      </c>
      <c r="F4" s="33">
        <v>607000</v>
      </c>
      <c r="G4" s="33">
        <v>22500</v>
      </c>
      <c r="H4" s="33">
        <v>3170</v>
      </c>
      <c r="I4" s="34">
        <f>((546467*9.28%)+546467)</f>
        <v>597179.13760000002</v>
      </c>
      <c r="J4" s="34">
        <f>((20268*9.28%)+20268)</f>
        <v>22148.8704</v>
      </c>
      <c r="K4" s="34">
        <f>((2848*9.28%)+2848)</f>
        <v>3112.2943999999998</v>
      </c>
      <c r="L4" s="34">
        <v>189980</v>
      </c>
      <c r="M4" s="34">
        <f>N4*8</f>
        <v>22152</v>
      </c>
      <c r="N4" s="34">
        <v>2769</v>
      </c>
      <c r="O4" s="32">
        <v>779832</v>
      </c>
      <c r="P4" s="32">
        <v>1083</v>
      </c>
      <c r="Q4" s="32">
        <v>25994</v>
      </c>
      <c r="R4" s="4" t="s">
        <v>12</v>
      </c>
      <c r="S4" s="8">
        <f>ROUND(AVERAGE(C4,F4,L4,O4,I4),0)</f>
        <v>548463</v>
      </c>
      <c r="T4" s="9">
        <f>ROUND((S4*19%),0)</f>
        <v>104208</v>
      </c>
      <c r="U4" s="8">
        <f>S4+T4</f>
        <v>652671</v>
      </c>
      <c r="V4" s="8">
        <f>ROUND(AVERAGE(D4,G4,J4,M4,Q4),0)</f>
        <v>22775</v>
      </c>
      <c r="W4" s="9">
        <f>ROUND((V4*19%),0)</f>
        <v>4327</v>
      </c>
      <c r="X4" s="8">
        <f>V4+W4</f>
        <v>27102</v>
      </c>
      <c r="Y4" s="10">
        <f>ROUND(AVERAGE(E4,H4,K4,N4,P4),0)</f>
        <v>2619</v>
      </c>
      <c r="Z4" s="9">
        <f>ROUND((Y4*19%),0)</f>
        <v>498</v>
      </c>
      <c r="AA4" s="11">
        <f>Y4+Z4</f>
        <v>3117</v>
      </c>
    </row>
    <row r="5" spans="1:27" s="2" customFormat="1" ht="20.100000000000001" customHeight="1">
      <c r="B5" s="4" t="s">
        <v>13</v>
      </c>
      <c r="C5" s="33">
        <v>264935</v>
      </c>
      <c r="D5" s="33">
        <v>10596</v>
      </c>
      <c r="E5" s="33">
        <v>1646</v>
      </c>
      <c r="F5" s="33">
        <v>288000</v>
      </c>
      <c r="G5" s="33">
        <v>11350</v>
      </c>
      <c r="H5" s="33">
        <v>1760</v>
      </c>
      <c r="I5" s="34">
        <f>((254746*9.28%)+254746)</f>
        <v>278386.42879999999</v>
      </c>
      <c r="J5" s="34">
        <f>((10189*9.28%)+10189)</f>
        <v>11134.539199999999</v>
      </c>
      <c r="K5" s="34">
        <f>((1586+9.28%)+1586)</f>
        <v>3172.0927999999999</v>
      </c>
      <c r="L5" s="34">
        <v>67296</v>
      </c>
      <c r="M5" s="34">
        <f>N5*8</f>
        <v>6840</v>
      </c>
      <c r="N5" s="34">
        <v>855</v>
      </c>
      <c r="O5" s="32">
        <v>389916</v>
      </c>
      <c r="P5" s="32">
        <v>541</v>
      </c>
      <c r="Q5" s="32">
        <v>12997</v>
      </c>
      <c r="R5" s="4" t="s">
        <v>13</v>
      </c>
      <c r="S5" s="8">
        <f>ROUND(AVERAGE(C5,F5,L5,O5,I5),0)</f>
        <v>257707</v>
      </c>
      <c r="T5" s="9">
        <f t="shared" ref="T5:T10" si="0">ROUND((S5*19%),0)</f>
        <v>48964</v>
      </c>
      <c r="U5" s="8">
        <f t="shared" ref="U5:U10" si="1">S5+T5</f>
        <v>306671</v>
      </c>
      <c r="V5" s="8">
        <f t="shared" ref="V5:V10" si="2">ROUND(AVERAGE(D5,G5,J5,M5,Q5),0)</f>
        <v>10584</v>
      </c>
      <c r="W5" s="9">
        <f t="shared" ref="W5:W10" si="3">ROUND((V5*19%),0)</f>
        <v>2011</v>
      </c>
      <c r="X5" s="8">
        <f t="shared" ref="X5:X10" si="4">V5+W5</f>
        <v>12595</v>
      </c>
      <c r="Y5" s="10">
        <f t="shared" ref="Y5:Y10" si="5">ROUND(AVERAGE(E5,H5,K5,N5,P5),0)</f>
        <v>1595</v>
      </c>
      <c r="Z5" s="9">
        <f t="shared" ref="Z5:Z10" si="6">ROUND((Y5*19%),0)</f>
        <v>303</v>
      </c>
      <c r="AA5" s="11">
        <f t="shared" ref="AA5:AA10" si="7">Y5+Z5</f>
        <v>1898</v>
      </c>
    </row>
    <row r="6" spans="1:27" s="2" customFormat="1" ht="20.100000000000001" customHeight="1">
      <c r="B6" s="4" t="s">
        <v>14</v>
      </c>
      <c r="C6" s="33">
        <v>587100</v>
      </c>
      <c r="D6" s="33">
        <v>21800</v>
      </c>
      <c r="E6" s="33">
        <v>3348</v>
      </c>
      <c r="F6" s="33">
        <v>627000</v>
      </c>
      <c r="G6" s="33">
        <v>23300</v>
      </c>
      <c r="H6" s="33">
        <v>3580</v>
      </c>
      <c r="I6" s="34">
        <f>((564519*9.28%)+564519)</f>
        <v>616906.36320000002</v>
      </c>
      <c r="J6" s="34">
        <f>((20962*9.28%)+20962)</f>
        <v>22907.2736</v>
      </c>
      <c r="K6" s="34">
        <f>((3220*9.28%)+3220)</f>
        <v>3518.8159999999998</v>
      </c>
      <c r="L6" s="34">
        <v>189980</v>
      </c>
      <c r="M6" s="34">
        <f t="shared" ref="M5:M10" si="8">N6*8</f>
        <v>22152</v>
      </c>
      <c r="N6" s="34">
        <v>2769</v>
      </c>
      <c r="O6" s="32">
        <v>779832</v>
      </c>
      <c r="P6" s="32">
        <v>1083</v>
      </c>
      <c r="Q6" s="32">
        <v>25994</v>
      </c>
      <c r="R6" s="4" t="s">
        <v>14</v>
      </c>
      <c r="S6" s="8">
        <f t="shared" ref="S6:S10" si="9">ROUND(AVERAGE(C6,F6,L6,O6,I6),0)</f>
        <v>560164</v>
      </c>
      <c r="T6" s="9">
        <f t="shared" si="0"/>
        <v>106431</v>
      </c>
      <c r="U6" s="8">
        <f t="shared" si="1"/>
        <v>666595</v>
      </c>
      <c r="V6" s="8">
        <f t="shared" si="2"/>
        <v>23231</v>
      </c>
      <c r="W6" s="9">
        <f t="shared" si="3"/>
        <v>4414</v>
      </c>
      <c r="X6" s="8">
        <f t="shared" si="4"/>
        <v>27645</v>
      </c>
      <c r="Y6" s="10">
        <f t="shared" si="5"/>
        <v>2860</v>
      </c>
      <c r="Z6" s="9">
        <f t="shared" si="6"/>
        <v>543</v>
      </c>
      <c r="AA6" s="11">
        <f t="shared" si="7"/>
        <v>3403</v>
      </c>
    </row>
    <row r="7" spans="1:27" s="2" customFormat="1" ht="20.100000000000001" customHeight="1">
      <c r="B7" s="4" t="s">
        <v>15</v>
      </c>
      <c r="C7" s="33">
        <v>651684</v>
      </c>
      <c r="D7" s="33">
        <v>26729</v>
      </c>
      <c r="E7" s="33">
        <v>4054</v>
      </c>
      <c r="F7" s="33">
        <v>695600</v>
      </c>
      <c r="G7" s="33">
        <v>28650</v>
      </c>
      <c r="H7" s="33">
        <v>4350</v>
      </c>
      <c r="I7" s="34">
        <f>((626620*9.28%)+626620)</f>
        <v>684770.33600000001</v>
      </c>
      <c r="J7" s="34">
        <f>((25701*9.28%)+25701)</f>
        <v>28086.052800000001</v>
      </c>
      <c r="K7" s="34">
        <f>((3899*9.28%)+3899)</f>
        <v>4260.8271999999997</v>
      </c>
      <c r="L7" s="34">
        <v>204991</v>
      </c>
      <c r="M7" s="34">
        <f t="shared" si="8"/>
        <v>22360</v>
      </c>
      <c r="N7" s="34">
        <v>2795</v>
      </c>
      <c r="O7" s="32">
        <v>779832</v>
      </c>
      <c r="P7" s="32">
        <v>1083</v>
      </c>
      <c r="Q7" s="32">
        <v>25994</v>
      </c>
      <c r="R7" s="4" t="s">
        <v>15</v>
      </c>
      <c r="S7" s="8">
        <f t="shared" si="9"/>
        <v>603375</v>
      </c>
      <c r="T7" s="9">
        <f t="shared" si="0"/>
        <v>114641</v>
      </c>
      <c r="U7" s="8">
        <f t="shared" si="1"/>
        <v>718016</v>
      </c>
      <c r="V7" s="8">
        <f t="shared" si="2"/>
        <v>26364</v>
      </c>
      <c r="W7" s="9">
        <f t="shared" si="3"/>
        <v>5009</v>
      </c>
      <c r="X7" s="8">
        <f t="shared" si="4"/>
        <v>31373</v>
      </c>
      <c r="Y7" s="10">
        <f t="shared" si="5"/>
        <v>3309</v>
      </c>
      <c r="Z7" s="9">
        <f t="shared" si="6"/>
        <v>629</v>
      </c>
      <c r="AA7" s="11">
        <f t="shared" si="7"/>
        <v>3938</v>
      </c>
    </row>
    <row r="8" spans="1:27" s="2" customFormat="1" ht="20.100000000000001" customHeight="1">
      <c r="B8" s="4" t="s">
        <v>16</v>
      </c>
      <c r="C8" s="33">
        <v>660980</v>
      </c>
      <c r="D8" s="33">
        <v>31149</v>
      </c>
      <c r="E8" s="33">
        <v>4255</v>
      </c>
      <c r="F8" s="33">
        <v>705500</v>
      </c>
      <c r="G8" s="33">
        <v>33250</v>
      </c>
      <c r="H8" s="33">
        <v>4550</v>
      </c>
      <c r="I8" s="34">
        <f>((635558*9.28%)+635558)</f>
        <v>694537.78240000003</v>
      </c>
      <c r="J8" s="34">
        <f>((29951*9.28%)+29951)</f>
        <v>32730.452799999999</v>
      </c>
      <c r="K8" s="34">
        <f>((4092*9.28%)+4092)</f>
        <v>4471.7376000000004</v>
      </c>
      <c r="L8" s="34">
        <v>204991</v>
      </c>
      <c r="M8" s="34">
        <f t="shared" si="8"/>
        <v>22360</v>
      </c>
      <c r="N8" s="34">
        <v>2795</v>
      </c>
      <c r="O8" s="32">
        <v>779832</v>
      </c>
      <c r="P8" s="32">
        <v>1083</v>
      </c>
      <c r="Q8" s="32">
        <v>25994</v>
      </c>
      <c r="R8" s="4" t="s">
        <v>16</v>
      </c>
      <c r="S8" s="8">
        <f t="shared" si="9"/>
        <v>609168</v>
      </c>
      <c r="T8" s="9">
        <f t="shared" si="0"/>
        <v>115742</v>
      </c>
      <c r="U8" s="8">
        <f t="shared" si="1"/>
        <v>724910</v>
      </c>
      <c r="V8" s="8">
        <f t="shared" si="2"/>
        <v>29097</v>
      </c>
      <c r="W8" s="9">
        <f t="shared" si="3"/>
        <v>5528</v>
      </c>
      <c r="X8" s="8">
        <f t="shared" si="4"/>
        <v>34625</v>
      </c>
      <c r="Y8" s="10">
        <f t="shared" si="5"/>
        <v>3431</v>
      </c>
      <c r="Z8" s="9">
        <f t="shared" si="6"/>
        <v>652</v>
      </c>
      <c r="AA8" s="11">
        <f t="shared" si="7"/>
        <v>4083</v>
      </c>
    </row>
    <row r="9" spans="1:27" s="2" customFormat="1" ht="20.100000000000001" customHeight="1">
      <c r="B9" s="4" t="s">
        <v>17</v>
      </c>
      <c r="C9" s="33">
        <v>677631</v>
      </c>
      <c r="D9" s="33">
        <v>33507</v>
      </c>
      <c r="E9" s="33">
        <v>5172</v>
      </c>
      <c r="F9" s="33">
        <v>723300</v>
      </c>
      <c r="G9" s="33">
        <v>35800</v>
      </c>
      <c r="H9" s="33">
        <v>5550</v>
      </c>
      <c r="I9" s="34">
        <f>((651659*9.28%)+651659)</f>
        <v>712132.95519999997</v>
      </c>
      <c r="J9" s="34">
        <f>(32919*9.28%)+32919</f>
        <v>35973.883199999997</v>
      </c>
      <c r="K9" s="34">
        <f>((4974*9.28%)+4974)</f>
        <v>5435.5871999999999</v>
      </c>
      <c r="L9" s="34">
        <v>204991</v>
      </c>
      <c r="M9" s="34">
        <f t="shared" si="8"/>
        <v>22360</v>
      </c>
      <c r="N9" s="34">
        <v>2795</v>
      </c>
      <c r="O9" s="32">
        <v>779832</v>
      </c>
      <c r="P9" s="32">
        <v>1083</v>
      </c>
      <c r="Q9" s="32">
        <v>25994</v>
      </c>
      <c r="R9" s="4" t="s">
        <v>17</v>
      </c>
      <c r="S9" s="8">
        <f t="shared" si="9"/>
        <v>619577</v>
      </c>
      <c r="T9" s="9">
        <f t="shared" si="0"/>
        <v>117720</v>
      </c>
      <c r="U9" s="8">
        <f t="shared" si="1"/>
        <v>737297</v>
      </c>
      <c r="V9" s="8">
        <f t="shared" si="2"/>
        <v>30727</v>
      </c>
      <c r="W9" s="9">
        <f t="shared" si="3"/>
        <v>5838</v>
      </c>
      <c r="X9" s="8">
        <f t="shared" si="4"/>
        <v>36565</v>
      </c>
      <c r="Y9" s="10">
        <f t="shared" si="5"/>
        <v>4007</v>
      </c>
      <c r="Z9" s="9">
        <f t="shared" si="6"/>
        <v>761</v>
      </c>
      <c r="AA9" s="11">
        <f t="shared" si="7"/>
        <v>4768</v>
      </c>
    </row>
    <row r="10" spans="1:27" s="2" customFormat="1" ht="20.100000000000001" customHeight="1">
      <c r="B10" s="4" t="s">
        <v>18</v>
      </c>
      <c r="C10" s="33">
        <v>648331</v>
      </c>
      <c r="D10" s="33">
        <v>32110</v>
      </c>
      <c r="E10" s="33">
        <v>5360</v>
      </c>
      <c r="F10" s="33">
        <v>692000</v>
      </c>
      <c r="G10" s="33">
        <v>34300</v>
      </c>
      <c r="H10" s="33">
        <v>5750</v>
      </c>
      <c r="I10" s="34">
        <f>((523396*9.28%)+651659)</f>
        <v>700230.14879999997</v>
      </c>
      <c r="J10" s="34">
        <f>((30875*9.28%)+30875)</f>
        <v>33740.199999999997</v>
      </c>
      <c r="K10" s="34">
        <f>((5154*9.28%)+5154)</f>
        <v>5632.2911999999997</v>
      </c>
      <c r="L10" s="34">
        <v>204991</v>
      </c>
      <c r="M10" s="34">
        <f t="shared" si="8"/>
        <v>22360</v>
      </c>
      <c r="N10" s="34">
        <v>2795</v>
      </c>
      <c r="O10" s="32">
        <v>779832</v>
      </c>
      <c r="P10" s="32">
        <v>1083</v>
      </c>
      <c r="Q10" s="32">
        <v>25994</v>
      </c>
      <c r="R10" s="4" t="s">
        <v>18</v>
      </c>
      <c r="S10" s="8">
        <f t="shared" si="9"/>
        <v>605077</v>
      </c>
      <c r="T10" s="9">
        <f t="shared" si="0"/>
        <v>114965</v>
      </c>
      <c r="U10" s="8">
        <f t="shared" si="1"/>
        <v>720042</v>
      </c>
      <c r="V10" s="8">
        <f t="shared" si="2"/>
        <v>29701</v>
      </c>
      <c r="W10" s="9">
        <f t="shared" si="3"/>
        <v>5643</v>
      </c>
      <c r="X10" s="8">
        <f t="shared" si="4"/>
        <v>35344</v>
      </c>
      <c r="Y10" s="10">
        <f t="shared" si="5"/>
        <v>4124</v>
      </c>
      <c r="Z10" s="9">
        <f t="shared" si="6"/>
        <v>784</v>
      </c>
      <c r="AA10" s="11">
        <f t="shared" si="7"/>
        <v>4908</v>
      </c>
    </row>
    <row r="12" spans="1:27" hidden="1">
      <c r="A12" s="13"/>
      <c r="B12" s="13"/>
      <c r="C12" s="22"/>
      <c r="D12" s="22"/>
      <c r="E12" s="22"/>
      <c r="F12" s="22"/>
      <c r="G12" s="22"/>
      <c r="O12" s="23">
        <f>19700*30</f>
        <v>591000</v>
      </c>
    </row>
    <row r="13" spans="1:27" hidden="1">
      <c r="A13" s="13"/>
      <c r="B13" s="14"/>
      <c r="C13" s="19"/>
      <c r="D13" s="22"/>
      <c r="E13" s="19"/>
      <c r="F13" s="19"/>
      <c r="G13" s="22"/>
      <c r="I13" s="24">
        <v>0.13120000000000001</v>
      </c>
      <c r="J13" s="23">
        <f>184871*19%</f>
        <v>35125.49</v>
      </c>
      <c r="L13" s="24">
        <v>0.13120000000000001</v>
      </c>
      <c r="M13" s="23">
        <f>184871*19%</f>
        <v>35125.49</v>
      </c>
      <c r="P13" s="23" t="s">
        <v>19</v>
      </c>
      <c r="Q13" s="23" t="e">
        <f>+#REF!/30</f>
        <v>#REF!</v>
      </c>
      <c r="R13" s="7"/>
    </row>
    <row r="14" spans="1:27" hidden="1">
      <c r="A14" s="13"/>
      <c r="B14" s="14"/>
      <c r="C14" s="19"/>
      <c r="D14" s="22"/>
      <c r="E14" s="19"/>
      <c r="F14" s="19"/>
      <c r="G14" s="22"/>
      <c r="I14" s="24">
        <v>0.13120000000000001</v>
      </c>
      <c r="J14" s="23">
        <v>199583</v>
      </c>
      <c r="L14" s="24">
        <v>0.13120000000000001</v>
      </c>
      <c r="M14" s="23">
        <v>199583</v>
      </c>
    </row>
    <row r="15" spans="1:27" hidden="1">
      <c r="A15" s="13"/>
      <c r="B15" s="14"/>
      <c r="C15" s="19"/>
      <c r="D15" s="22"/>
      <c r="E15" s="19"/>
      <c r="F15" s="19"/>
      <c r="G15" s="22"/>
      <c r="I15" s="24">
        <v>0.13120000000000001</v>
      </c>
      <c r="J15" s="23">
        <f>+J14*19%</f>
        <v>37920.770000000004</v>
      </c>
      <c r="L15" s="24">
        <v>0.13120000000000001</v>
      </c>
      <c r="M15" s="23">
        <f>+M14*19%</f>
        <v>37920.770000000004</v>
      </c>
      <c r="S15" t="s">
        <v>19</v>
      </c>
    </row>
    <row r="16" spans="1:27" hidden="1">
      <c r="A16" s="13"/>
      <c r="B16" s="14"/>
      <c r="C16" s="19"/>
      <c r="D16" s="22"/>
      <c r="E16" s="19"/>
      <c r="F16" s="19"/>
      <c r="G16" s="22"/>
      <c r="I16" s="24">
        <v>0.13120000000000001</v>
      </c>
      <c r="K16" s="23">
        <v>1000000</v>
      </c>
      <c r="L16" s="24">
        <v>0.13120000000000001</v>
      </c>
      <c r="N16" s="23">
        <v>1000000</v>
      </c>
      <c r="O16" s="23" t="e">
        <f>+(#REF!*0.8)/1</f>
        <v>#REF!</v>
      </c>
    </row>
    <row r="17" spans="1:19" hidden="1">
      <c r="A17" s="13"/>
      <c r="B17" s="14"/>
      <c r="C17" s="19"/>
      <c r="D17" s="22"/>
      <c r="E17" s="19"/>
      <c r="F17" s="19"/>
      <c r="G17" s="22"/>
      <c r="I17" s="24">
        <v>0.13120000000000001</v>
      </c>
      <c r="J17" s="23">
        <f>+J14+J15</f>
        <v>237503.77000000002</v>
      </c>
      <c r="L17" s="24">
        <v>0.13120000000000001</v>
      </c>
      <c r="M17" s="23">
        <f>+M14+M15</f>
        <v>237503.77000000002</v>
      </c>
      <c r="P17" s="23" t="e">
        <f>+#REF!/30/24</f>
        <v>#REF!</v>
      </c>
      <c r="Q17" s="23">
        <v>38667</v>
      </c>
      <c r="R17">
        <f>30934*30</f>
        <v>928020</v>
      </c>
      <c r="S17">
        <f>+R17/30/24</f>
        <v>1288.9166666666667</v>
      </c>
    </row>
    <row r="18" spans="1:19" hidden="1">
      <c r="A18" s="13"/>
      <c r="B18" s="14"/>
      <c r="C18" s="19"/>
      <c r="D18" s="22"/>
      <c r="E18" s="19"/>
      <c r="F18" s="19"/>
      <c r="G18" s="22"/>
      <c r="I18" s="24">
        <v>0.13120000000000001</v>
      </c>
      <c r="K18" s="23">
        <v>1160000</v>
      </c>
      <c r="L18" s="24">
        <v>0.13120000000000001</v>
      </c>
      <c r="N18" s="23">
        <v>1160000</v>
      </c>
      <c r="O18" s="23" t="e">
        <f>+#REF!/0.8</f>
        <v>#REF!</v>
      </c>
      <c r="Q18" s="23">
        <v>38667</v>
      </c>
      <c r="R18" t="e">
        <f>+#REF!/30/24</f>
        <v>#REF!</v>
      </c>
    </row>
    <row r="19" spans="1:19" hidden="1">
      <c r="A19" s="13"/>
      <c r="B19" s="14"/>
      <c r="C19" s="19"/>
      <c r="D19" s="22"/>
      <c r="E19" s="19"/>
      <c r="F19" s="19"/>
      <c r="G19" s="22"/>
      <c r="I19" s="24">
        <v>0.13120000000000001</v>
      </c>
      <c r="L19" s="24">
        <v>0.13120000000000001</v>
      </c>
      <c r="O19" s="23" t="e">
        <f>+#REF!/0.4</f>
        <v>#REF!</v>
      </c>
      <c r="Q19" s="23">
        <v>38667</v>
      </c>
    </row>
    <row r="20" spans="1:19" hidden="1">
      <c r="A20" s="13"/>
      <c r="B20" s="13"/>
      <c r="C20" s="22"/>
      <c r="D20" s="22"/>
      <c r="E20" s="22"/>
      <c r="F20" s="22"/>
      <c r="G20" s="22"/>
      <c r="O20" s="23" t="s">
        <v>19</v>
      </c>
      <c r="Q20" s="23">
        <v>38667</v>
      </c>
      <c r="R20" t="s">
        <v>19</v>
      </c>
    </row>
    <row r="21" spans="1:19" hidden="1">
      <c r="A21" s="13"/>
      <c r="B21" s="13"/>
      <c r="C21" s="22"/>
      <c r="D21" s="22"/>
      <c r="E21" s="22"/>
      <c r="F21" s="22"/>
      <c r="G21" s="22"/>
      <c r="I21" s="24">
        <v>0.13120000000000001</v>
      </c>
      <c r="L21" s="24">
        <v>0.13120000000000001</v>
      </c>
      <c r="Q21" s="23">
        <v>38667</v>
      </c>
    </row>
    <row r="22" spans="1:19" hidden="1">
      <c r="I22" s="24">
        <v>0.13120000000000001</v>
      </c>
      <c r="L22" s="24">
        <v>0.13120000000000001</v>
      </c>
      <c r="Q22" s="23">
        <v>38667</v>
      </c>
    </row>
    <row r="23" spans="1:19" hidden="1">
      <c r="I23" s="24">
        <v>0.13120000000000001</v>
      </c>
      <c r="L23" s="24">
        <v>0.13120000000000001</v>
      </c>
    </row>
    <row r="24" spans="1:19" hidden="1">
      <c r="I24" s="24">
        <v>0.13120000000000001</v>
      </c>
      <c r="L24" s="24">
        <v>0.13120000000000001</v>
      </c>
    </row>
    <row r="25" spans="1:19" hidden="1">
      <c r="I25" s="24">
        <v>0.13120000000000001</v>
      </c>
      <c r="L25" s="24">
        <v>0.13120000000000001</v>
      </c>
    </row>
    <row r="26" spans="1:19" hidden="1">
      <c r="I26" s="24">
        <v>0.13120000000000001</v>
      </c>
      <c r="L26" s="24">
        <v>0.13120000000000001</v>
      </c>
    </row>
    <row r="27" spans="1:19" hidden="1">
      <c r="I27" s="24">
        <v>0.13120000000000001</v>
      </c>
      <c r="L27" s="24">
        <v>0.13120000000000001</v>
      </c>
    </row>
    <row r="28" spans="1:19" hidden="1"/>
    <row r="29" spans="1:19" hidden="1">
      <c r="I29" s="24">
        <v>0.13120000000000001</v>
      </c>
      <c r="L29" s="24">
        <v>0.13120000000000001</v>
      </c>
    </row>
    <row r="30" spans="1:19" hidden="1">
      <c r="I30" s="24">
        <v>0.13120000000000001</v>
      </c>
      <c r="L30" s="24">
        <v>0.13120000000000001</v>
      </c>
    </row>
    <row r="31" spans="1:19" hidden="1">
      <c r="I31" s="24">
        <v>0.13120000000000001</v>
      </c>
      <c r="L31" s="24">
        <v>0.13120000000000001</v>
      </c>
    </row>
    <row r="32" spans="1:19" hidden="1">
      <c r="I32" s="24">
        <v>0.13120000000000001</v>
      </c>
      <c r="L32" s="24">
        <v>0.13120000000000001</v>
      </c>
    </row>
    <row r="33" spans="9:18" hidden="1">
      <c r="I33" s="24">
        <v>0.13120000000000001</v>
      </c>
      <c r="L33" s="24">
        <v>0.13120000000000001</v>
      </c>
    </row>
    <row r="34" spans="9:18" hidden="1">
      <c r="I34" s="24">
        <v>0.13120000000000001</v>
      </c>
      <c r="L34" s="24">
        <v>0.13120000000000001</v>
      </c>
    </row>
    <row r="35" spans="9:18" hidden="1">
      <c r="I35" s="24">
        <v>0.13120000000000001</v>
      </c>
      <c r="L35" s="24">
        <v>0.13120000000000001</v>
      </c>
    </row>
    <row r="36" spans="9:18" hidden="1"/>
    <row r="37" spans="9:18" hidden="1"/>
    <row r="38" spans="9:18" hidden="1">
      <c r="I38" s="38" t="s">
        <v>20</v>
      </c>
      <c r="J38" s="39"/>
      <c r="K38" s="39"/>
      <c r="L38" s="38" t="s">
        <v>20</v>
      </c>
      <c r="M38" s="39"/>
      <c r="N38" s="39"/>
    </row>
    <row r="39" spans="9:18" ht="38.25" hidden="1">
      <c r="I39" s="20" t="s">
        <v>7</v>
      </c>
      <c r="J39" s="20" t="s">
        <v>9</v>
      </c>
      <c r="K39" s="21" t="s">
        <v>8</v>
      </c>
      <c r="L39" s="20" t="s">
        <v>7</v>
      </c>
      <c r="M39" s="20" t="s">
        <v>9</v>
      </c>
      <c r="N39" s="21" t="s">
        <v>8</v>
      </c>
    </row>
    <row r="40" spans="9:18" hidden="1">
      <c r="I40" s="26" t="e">
        <f>#REF!/1.19</f>
        <v>#REF!</v>
      </c>
      <c r="J40" s="26" t="e">
        <f>#REF!/1.19</f>
        <v>#REF!</v>
      </c>
      <c r="K40" s="26" t="e">
        <f>#REF!/1.19</f>
        <v>#REF!</v>
      </c>
      <c r="L40" s="26" t="e">
        <f>#REF!/1.19</f>
        <v>#REF!</v>
      </c>
      <c r="M40" s="26" t="e">
        <f>#REF!/1.19</f>
        <v>#REF!</v>
      </c>
      <c r="N40" s="26" t="e">
        <f>#REF!/1.19</f>
        <v>#REF!</v>
      </c>
    </row>
    <row r="41" spans="9:18" hidden="1">
      <c r="I41" s="26" t="e">
        <f>#REF!/1.19</f>
        <v>#REF!</v>
      </c>
      <c r="J41" s="26" t="e">
        <f>#REF!/1.19</f>
        <v>#REF!</v>
      </c>
      <c r="K41" s="26" t="e">
        <f>#REF!/1.19</f>
        <v>#REF!</v>
      </c>
      <c r="L41" s="26" t="e">
        <f>#REF!/1.19</f>
        <v>#REF!</v>
      </c>
      <c r="M41" s="26" t="e">
        <f>#REF!/1.19</f>
        <v>#REF!</v>
      </c>
      <c r="N41" s="26" t="e">
        <f>#REF!/1.19</f>
        <v>#REF!</v>
      </c>
    </row>
    <row r="42" spans="9:18" hidden="1">
      <c r="I42" s="26" t="e">
        <f>#REF!/1.19</f>
        <v>#REF!</v>
      </c>
      <c r="J42" s="26" t="e">
        <f>#REF!/1.19</f>
        <v>#REF!</v>
      </c>
      <c r="K42" s="26" t="e">
        <f>#REF!/1.19</f>
        <v>#REF!</v>
      </c>
      <c r="L42" s="26" t="e">
        <f>#REF!/1.19</f>
        <v>#REF!</v>
      </c>
      <c r="M42" s="26" t="e">
        <f>#REF!/1.19</f>
        <v>#REF!</v>
      </c>
      <c r="N42" s="26" t="e">
        <f>#REF!/1.19</f>
        <v>#REF!</v>
      </c>
    </row>
    <row r="43" spans="9:18" hidden="1">
      <c r="I43" s="26" t="e">
        <f>#REF!/1.19</f>
        <v>#REF!</v>
      </c>
      <c r="J43" s="26" t="e">
        <f>#REF!/1.19</f>
        <v>#REF!</v>
      </c>
      <c r="K43" s="26" t="e">
        <f>#REF!/1.19</f>
        <v>#REF!</v>
      </c>
      <c r="L43" s="26" t="e">
        <f>#REF!/1.19</f>
        <v>#REF!</v>
      </c>
      <c r="M43" s="26" t="e">
        <f>#REF!/1.19</f>
        <v>#REF!</v>
      </c>
      <c r="N43" s="26" t="e">
        <f>#REF!/1.19</f>
        <v>#REF!</v>
      </c>
    </row>
    <row r="44" spans="9:18" hidden="1">
      <c r="I44" s="26" t="e">
        <f>#REF!/1.19</f>
        <v>#REF!</v>
      </c>
      <c r="J44" s="26" t="e">
        <f>#REF!/1.19</f>
        <v>#REF!</v>
      </c>
      <c r="K44" s="26" t="e">
        <f>#REF!/1.19</f>
        <v>#REF!</v>
      </c>
      <c r="L44" s="26" t="e">
        <f>#REF!/1.19</f>
        <v>#REF!</v>
      </c>
      <c r="M44" s="26" t="e">
        <f>#REF!/1.19</f>
        <v>#REF!</v>
      </c>
      <c r="N44" s="26" t="e">
        <f>#REF!/1.19</f>
        <v>#REF!</v>
      </c>
    </row>
    <row r="45" spans="9:18" hidden="1">
      <c r="I45" s="26" t="e">
        <f>#REF!/1.19</f>
        <v>#REF!</v>
      </c>
      <c r="J45" s="26" t="e">
        <f>#REF!/1.19</f>
        <v>#REF!</v>
      </c>
      <c r="K45" s="26" t="e">
        <f>#REF!/1.19</f>
        <v>#REF!</v>
      </c>
      <c r="L45" s="26" t="e">
        <f>#REF!/1.19</f>
        <v>#REF!</v>
      </c>
      <c r="M45" s="26" t="e">
        <f>#REF!/1.19</f>
        <v>#REF!</v>
      </c>
      <c r="N45" s="26" t="e">
        <f>#REF!/1.19</f>
        <v>#REF!</v>
      </c>
    </row>
    <row r="46" spans="9:18" hidden="1">
      <c r="I46" s="26" t="e">
        <f>#REF!/1.19</f>
        <v>#REF!</v>
      </c>
      <c r="J46" s="26" t="e">
        <f>#REF!/1.19</f>
        <v>#REF!</v>
      </c>
      <c r="K46" s="26" t="e">
        <f>#REF!/1.19</f>
        <v>#REF!</v>
      </c>
      <c r="L46" s="26" t="e">
        <f>#REF!/1.19</f>
        <v>#REF!</v>
      </c>
      <c r="M46" s="26" t="e">
        <f>#REF!/1.19</f>
        <v>#REF!</v>
      </c>
      <c r="N46" s="26" t="e">
        <f>#REF!/1.19</f>
        <v>#REF!</v>
      </c>
    </row>
    <row r="47" spans="9:18" hidden="1">
      <c r="O47" s="17" t="s">
        <v>4</v>
      </c>
      <c r="P47" s="23" t="s">
        <v>21</v>
      </c>
      <c r="R47" t="s">
        <v>22</v>
      </c>
    </row>
    <row r="48" spans="9:18" hidden="1">
      <c r="I48" s="27" t="e">
        <f>(I40*13.12%)+I40</f>
        <v>#REF!</v>
      </c>
      <c r="J48" s="27" t="e">
        <f t="shared" ref="J48:K48" si="10">(J40*13.12%)+J40</f>
        <v>#REF!</v>
      </c>
      <c r="K48" s="27" t="e">
        <f t="shared" si="10"/>
        <v>#REF!</v>
      </c>
      <c r="L48" s="27" t="e">
        <f>(L40*13.12%)+L40</f>
        <v>#REF!</v>
      </c>
      <c r="M48" s="27" t="e">
        <f t="shared" ref="M48:N48" si="11">(M40*13.12%)+M40</f>
        <v>#REF!</v>
      </c>
      <c r="N48" s="27" t="e">
        <f t="shared" si="11"/>
        <v>#REF!</v>
      </c>
      <c r="O48" s="28" t="s">
        <v>6</v>
      </c>
      <c r="P48" s="29">
        <v>1160000</v>
      </c>
      <c r="Q48" s="29" t="e">
        <f>+#REF!*0.8/1</f>
        <v>#REF!</v>
      </c>
      <c r="R48" s="16" t="e">
        <f>+#REF!/24</f>
        <v>#REF!</v>
      </c>
    </row>
    <row r="49" spans="5:19" hidden="1">
      <c r="I49" s="27" t="e">
        <f t="shared" ref="I49" si="12">(I41*13.12%)+I41</f>
        <v>#REF!</v>
      </c>
      <c r="J49" s="30" t="e">
        <f t="shared" ref="J49:K49" si="13">(J41*13.12%)+J41</f>
        <v>#REF!</v>
      </c>
      <c r="K49" s="27" t="e">
        <f t="shared" si="13"/>
        <v>#REF!</v>
      </c>
      <c r="L49" s="27" t="e">
        <f t="shared" ref="L49:N49" si="14">(L41*13.12%)+L41</f>
        <v>#REF!</v>
      </c>
      <c r="M49" s="30" t="e">
        <f t="shared" si="14"/>
        <v>#REF!</v>
      </c>
      <c r="N49" s="27" t="e">
        <f t="shared" si="14"/>
        <v>#REF!</v>
      </c>
      <c r="O49" s="31" t="s">
        <v>12</v>
      </c>
      <c r="P49" s="29"/>
      <c r="Q49" s="29" t="e">
        <f>+#REF!*0.4/1</f>
        <v>#REF!</v>
      </c>
      <c r="R49" s="16" t="e">
        <f>+#REF!/24</f>
        <v>#REF!</v>
      </c>
    </row>
    <row r="50" spans="5:19" hidden="1">
      <c r="I50" s="27" t="e">
        <f t="shared" ref="I50" si="15">(I42*13.12%)+I42</f>
        <v>#REF!</v>
      </c>
      <c r="J50" s="27" t="e">
        <f t="shared" ref="J50:K50" si="16">(J42*13.12%)+J42</f>
        <v>#REF!</v>
      </c>
      <c r="K50" s="27" t="e">
        <f t="shared" si="16"/>
        <v>#REF!</v>
      </c>
      <c r="L50" s="27" t="e">
        <f t="shared" ref="L50:N50" si="17">(L42*13.12%)+L42</f>
        <v>#REF!</v>
      </c>
      <c r="M50" s="27" t="e">
        <f t="shared" si="17"/>
        <v>#REF!</v>
      </c>
      <c r="N50" s="27" t="e">
        <f t="shared" si="17"/>
        <v>#REF!</v>
      </c>
      <c r="O50" s="31" t="s">
        <v>13</v>
      </c>
      <c r="P50" s="27"/>
      <c r="Q50" s="27"/>
    </row>
    <row r="51" spans="5:19" hidden="1">
      <c r="I51" s="30" t="e">
        <f>(I43*13.12%)+I43</f>
        <v>#REF!</v>
      </c>
      <c r="J51" s="27" t="e">
        <f t="shared" ref="J51:K51" si="18">(J43*13.12%)+J43</f>
        <v>#REF!</v>
      </c>
      <c r="K51" s="27" t="e">
        <f t="shared" si="18"/>
        <v>#REF!</v>
      </c>
      <c r="L51" s="30" t="e">
        <f>(L43*13.12%)+L43</f>
        <v>#REF!</v>
      </c>
      <c r="M51" s="27" t="e">
        <f t="shared" ref="M51:N51" si="19">(M43*13.12%)+M43</f>
        <v>#REF!</v>
      </c>
      <c r="N51" s="27" t="e">
        <f t="shared" si="19"/>
        <v>#REF!</v>
      </c>
      <c r="O51" s="31" t="s">
        <v>14</v>
      </c>
      <c r="P51" s="27"/>
      <c r="Q51" s="27"/>
    </row>
    <row r="52" spans="5:19" hidden="1">
      <c r="I52" s="30" t="e">
        <f t="shared" ref="I52" si="20">(I44*13.12%)+I44</f>
        <v>#REF!</v>
      </c>
      <c r="J52" s="27" t="e">
        <f t="shared" ref="J52:K52" si="21">(J44*13.12%)+J44</f>
        <v>#REF!</v>
      </c>
      <c r="K52" s="27" t="e">
        <f t="shared" si="21"/>
        <v>#REF!</v>
      </c>
      <c r="L52" s="30" t="e">
        <f t="shared" ref="L52:N52" si="22">(L44*13.12%)+L44</f>
        <v>#REF!</v>
      </c>
      <c r="M52" s="27" t="e">
        <f t="shared" si="22"/>
        <v>#REF!</v>
      </c>
      <c r="N52" s="27" t="e">
        <f t="shared" si="22"/>
        <v>#REF!</v>
      </c>
      <c r="O52" s="31" t="s">
        <v>15</v>
      </c>
      <c r="P52" s="27"/>
      <c r="Q52" s="27"/>
    </row>
    <row r="53" spans="5:19" hidden="1">
      <c r="I53" s="30" t="e">
        <f t="shared" ref="I53" si="23">(I45*13.12%)+I45</f>
        <v>#REF!</v>
      </c>
      <c r="J53" s="27" t="e">
        <f t="shared" ref="J53:K53" si="24">(J45*13.12%)+J45</f>
        <v>#REF!</v>
      </c>
      <c r="K53" s="27" t="e">
        <f t="shared" si="24"/>
        <v>#REF!</v>
      </c>
      <c r="L53" s="30" t="e">
        <f t="shared" ref="L53:N53" si="25">(L45*13.12%)+L45</f>
        <v>#REF!</v>
      </c>
      <c r="M53" s="27" t="e">
        <f t="shared" si="25"/>
        <v>#REF!</v>
      </c>
      <c r="N53" s="27" t="e">
        <f t="shared" si="25"/>
        <v>#REF!</v>
      </c>
      <c r="O53" s="31" t="s">
        <v>16</v>
      </c>
      <c r="P53" s="27"/>
      <c r="Q53" s="27"/>
    </row>
    <row r="54" spans="5:19" hidden="1">
      <c r="I54" s="30" t="e">
        <f t="shared" ref="I54" si="26">(I46*13.12%)+I46</f>
        <v>#REF!</v>
      </c>
      <c r="J54" s="27" t="e">
        <f t="shared" ref="J54:K54" si="27">(J46*13.12%)+J46</f>
        <v>#REF!</v>
      </c>
      <c r="K54" s="27" t="e">
        <f t="shared" si="27"/>
        <v>#REF!</v>
      </c>
      <c r="L54" s="30" t="e">
        <f t="shared" ref="L54:N54" si="28">(L46*13.12%)+L46</f>
        <v>#REF!</v>
      </c>
      <c r="M54" s="27" t="e">
        <f t="shared" si="28"/>
        <v>#REF!</v>
      </c>
      <c r="N54" s="27" t="e">
        <f t="shared" si="28"/>
        <v>#REF!</v>
      </c>
      <c r="O54" s="31" t="s">
        <v>17</v>
      </c>
      <c r="P54" s="27"/>
      <c r="Q54" s="27"/>
    </row>
    <row r="55" spans="5:19" hidden="1">
      <c r="O55" s="31" t="s">
        <v>18</v>
      </c>
    </row>
    <row r="56" spans="5:19" hidden="1"/>
    <row r="57" spans="5:19" hidden="1"/>
    <row r="58" spans="5:19" hidden="1"/>
    <row r="59" spans="5:19" hidden="1">
      <c r="S59" s="15"/>
    </row>
    <row r="60" spans="5:19">
      <c r="E60" s="25"/>
      <c r="G60" s="25"/>
      <c r="S60" t="s">
        <v>19</v>
      </c>
    </row>
  </sheetData>
  <mergeCells count="8">
    <mergeCell ref="R2:AA2"/>
    <mergeCell ref="L38:N38"/>
    <mergeCell ref="C2:E2"/>
    <mergeCell ref="F2:H2"/>
    <mergeCell ref="L2:N2"/>
    <mergeCell ref="O2:Q2"/>
    <mergeCell ref="I2:K2"/>
    <mergeCell ref="I38:K38"/>
  </mergeCells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5aaf8a-a356-4778-9b6b-043498fc22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AF66B6BC208F46A2D393B92A36B8FB" ma:contentTypeVersion="17" ma:contentTypeDescription="Crear nuevo documento." ma:contentTypeScope="" ma:versionID="b3d1c8a47a1a5bd10c0122a61826c59a">
  <xsd:schema xmlns:xsd="http://www.w3.org/2001/XMLSchema" xmlns:xs="http://www.w3.org/2001/XMLSchema" xmlns:p="http://schemas.microsoft.com/office/2006/metadata/properties" xmlns:ns3="ae5aaf8a-a356-4778-9b6b-043498fc221b" xmlns:ns4="1e90f0fd-1ef4-4de1-bd79-736f871764bb" targetNamespace="http://schemas.microsoft.com/office/2006/metadata/properties" ma:root="true" ma:fieldsID="996ea8ede9f0211803d6e03ab62c9149" ns3:_="" ns4:_="">
    <xsd:import namespace="ae5aaf8a-a356-4778-9b6b-043498fc221b"/>
    <xsd:import namespace="1e90f0fd-1ef4-4de1-bd79-736f87176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af8a-a356-4778-9b6b-043498fc2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0f0fd-1ef4-4de1-bd79-736f87176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1971E-C7D7-4CE2-BAFD-165BE69CA83F}"/>
</file>

<file path=customXml/itemProps2.xml><?xml version="1.0" encoding="utf-8"?>
<ds:datastoreItem xmlns:ds="http://schemas.openxmlformats.org/officeDocument/2006/customXml" ds:itemID="{1AD8F76F-663E-49B5-B0C8-7FB9617C9EC7}"/>
</file>

<file path=customXml/itemProps3.xml><?xml version="1.0" encoding="utf-8"?>
<ds:datastoreItem xmlns:ds="http://schemas.openxmlformats.org/officeDocument/2006/customXml" ds:itemID="{703E18CF-5205-4099-9E02-C1AFE1904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Magola Mosquera Cardenas</dc:creator>
  <cp:keywords/>
  <dc:description/>
  <cp:lastModifiedBy>Servicios Administrativos -Antioquia - Medellín</cp:lastModifiedBy>
  <cp:revision/>
  <dcterms:created xsi:type="dcterms:W3CDTF">2022-12-05T16:38:59Z</dcterms:created>
  <dcterms:modified xsi:type="dcterms:W3CDTF">2024-12-03T21:44:39Z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0x01010085AF66B6BC208F46A2D393B92A36B8FB</vt:lpwstr>
  </property>
</Properties>
</file>