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C:\Users\Manuel Alejandro\Desktop\06-JUN-25\018. MANTENIMIENTO GENERAL II\"/>
    </mc:Choice>
  </mc:AlternateContent>
  <xr:revisionPtr revIDLastSave="0" documentId="13_ncr:1_{DF78B947-D91B-4C91-AB2E-B58FE6C1CD15}" xr6:coauthVersionLast="47" xr6:coauthVersionMax="47" xr10:uidLastSave="{00000000-0000-0000-0000-000000000000}"/>
  <bookViews>
    <workbookView xWindow="-120" yWindow="-120" windowWidth="29040" windowHeight="15720" tabRatio="800" activeTab="2" xr2:uid="{00000000-000D-0000-FFFF-FFFF00000000}"/>
  </bookViews>
  <sheets>
    <sheet name="APU" sheetId="2" r:id="rId1"/>
    <sheet name="PPTO MANTENIMIENTO" sheetId="1" r:id="rId2"/>
    <sheet name="PUERTO TEJADA" sheetId="8" r:id="rId3"/>
    <sheet name="SANTANDER Q" sheetId="10" r:id="rId4"/>
    <sheet name="BORDO" sheetId="12" r:id="rId5"/>
    <sheet name="POPAYAN FPS" sheetId="13" r:id="rId6"/>
    <sheet name="POPAYAN LCP" sheetId="14" r:id="rId7"/>
    <sheet name="ADOLESCENTES" sheetId="15" r:id="rId8"/>
  </sheets>
  <externalReferences>
    <externalReference r:id="rId9"/>
  </externalReferences>
  <definedNames>
    <definedName name="_xlnm.Print_Area" localSheetId="7">ADOLESCENTES!$A$1:$F$30</definedName>
    <definedName name="_xlnm.Print_Area" localSheetId="4">BORDO!$A$1:$F$43</definedName>
    <definedName name="_xlnm.Print_Area" localSheetId="5">'POPAYAN FPS'!$A$1:$F$28</definedName>
    <definedName name="_xlnm.Print_Area" localSheetId="6">'POPAYAN LCP'!$A$1:$F$30</definedName>
    <definedName name="_xlnm.Print_Area" localSheetId="1">'PPTO MANTENIMIENTO'!$A$1:$F$83</definedName>
    <definedName name="_xlnm.Print_Area" localSheetId="2">'PUERTO TEJADA'!$A$1:$F$46</definedName>
    <definedName name="_xlnm.Print_Area" localSheetId="3">'SANTANDER Q'!$A$1:$F$38</definedName>
    <definedName name="End_Use">[1]Hoja1!$D$1:$D$3</definedName>
  </definedNames>
  <calcPr calcId="191029" iterateCount="200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5" i="1" l="1"/>
  <c r="G24" i="1"/>
  <c r="G17" i="1"/>
  <c r="G15" i="1"/>
  <c r="G13" i="1"/>
  <c r="G12" i="1"/>
  <c r="G26" i="1"/>
  <c r="G27" i="1"/>
  <c r="G31" i="1"/>
  <c r="D31" i="1"/>
  <c r="D27" i="1"/>
  <c r="D26" i="1"/>
  <c r="D25" i="1"/>
  <c r="D24" i="1"/>
  <c r="D17" i="1"/>
  <c r="D15" i="1"/>
  <c r="D13" i="1"/>
  <c r="D12" i="1"/>
  <c r="D15" i="15"/>
  <c r="D14" i="15"/>
  <c r="D13" i="15"/>
  <c r="D12" i="15"/>
  <c r="D18" i="15"/>
  <c r="D17" i="15"/>
  <c r="D21" i="15"/>
  <c r="D20" i="15"/>
  <c r="D19" i="15" l="1"/>
  <c r="E21" i="15" l="1"/>
  <c r="F21" i="15" s="1"/>
  <c r="E20" i="15"/>
  <c r="F20" i="15" s="1"/>
  <c r="E19" i="15"/>
  <c r="F19" i="15" s="1"/>
  <c r="E18" i="15"/>
  <c r="F18" i="15" s="1"/>
  <c r="E17" i="15"/>
  <c r="F17" i="15" s="1"/>
  <c r="E15" i="15"/>
  <c r="F15" i="15" s="1"/>
  <c r="E14" i="15"/>
  <c r="F14" i="15" s="1"/>
  <c r="E13" i="15"/>
  <c r="F13" i="15" s="1"/>
  <c r="E12" i="15"/>
  <c r="F12" i="15" s="1"/>
  <c r="G19" i="1"/>
  <c r="G37" i="1"/>
  <c r="D37" i="1"/>
  <c r="D19" i="1"/>
  <c r="H15" i="14"/>
  <c r="D19" i="14"/>
  <c r="D20" i="14" s="1"/>
  <c r="D16" i="14"/>
  <c r="D21" i="14"/>
  <c r="D18" i="14"/>
  <c r="D14" i="14"/>
  <c r="D13" i="14"/>
  <c r="D12" i="14"/>
  <c r="D15" i="14"/>
  <c r="H15" i="13"/>
  <c r="D15" i="13" s="1"/>
  <c r="H14" i="1"/>
  <c r="H21" i="1"/>
  <c r="H29" i="1"/>
  <c r="H32" i="1"/>
  <c r="H33" i="1"/>
  <c r="H35" i="1"/>
  <c r="H39" i="1"/>
  <c r="H40" i="1"/>
  <c r="H41" i="1"/>
  <c r="H42" i="1"/>
  <c r="H43" i="1"/>
  <c r="H44" i="1"/>
  <c r="H45" i="1"/>
  <c r="H46" i="1"/>
  <c r="H47" i="1"/>
  <c r="H48" i="1"/>
  <c r="H49" i="1"/>
  <c r="H53" i="1"/>
  <c r="H54" i="1"/>
  <c r="H55" i="1"/>
  <c r="H57" i="1"/>
  <c r="H58" i="1"/>
  <c r="H59" i="1"/>
  <c r="G59" i="1"/>
  <c r="D17" i="13"/>
  <c r="E21" i="14"/>
  <c r="E20" i="14"/>
  <c r="E19" i="14"/>
  <c r="E18" i="14"/>
  <c r="E16" i="14"/>
  <c r="E15" i="14"/>
  <c r="E14" i="14"/>
  <c r="E13" i="14"/>
  <c r="E12" i="14"/>
  <c r="D18" i="13"/>
  <c r="D21" i="8"/>
  <c r="D22" i="8"/>
  <c r="D21" i="12"/>
  <c r="D19" i="10"/>
  <c r="D14" i="13"/>
  <c r="D13" i="13"/>
  <c r="D12" i="13"/>
  <c r="F22" i="15" l="1"/>
  <c r="F21" i="14"/>
  <c r="F13" i="14"/>
  <c r="F16" i="14"/>
  <c r="F15" i="14"/>
  <c r="F19" i="14"/>
  <c r="F12" i="14"/>
  <c r="F20" i="14"/>
  <c r="F14" i="14"/>
  <c r="F18" i="14"/>
  <c r="D19" i="13"/>
  <c r="E19" i="13"/>
  <c r="E18" i="13"/>
  <c r="E17" i="13"/>
  <c r="F17" i="13" s="1"/>
  <c r="E15" i="13"/>
  <c r="E14" i="13"/>
  <c r="F14" i="13" s="1"/>
  <c r="E13" i="13"/>
  <c r="E12" i="13"/>
  <c r="G54" i="1"/>
  <c r="G53" i="1"/>
  <c r="E31" i="12"/>
  <c r="E54" i="1"/>
  <c r="F24" i="15" l="1"/>
  <c r="F23" i="15"/>
  <c r="F25" i="15"/>
  <c r="F26" i="15" s="1"/>
  <c r="F22" i="14"/>
  <c r="F25" i="14" s="1"/>
  <c r="F26" i="14" s="1"/>
  <c r="F19" i="13"/>
  <c r="F18" i="13"/>
  <c r="F15" i="13"/>
  <c r="F13" i="13"/>
  <c r="F12" i="13"/>
  <c r="F27" i="15" l="1"/>
  <c r="F23" i="14"/>
  <c r="F24" i="14"/>
  <c r="F20" i="13"/>
  <c r="F23" i="13" s="1"/>
  <c r="F24" i="13" s="1"/>
  <c r="F27" i="14" l="1"/>
  <c r="F21" i="13"/>
  <c r="F22" i="13"/>
  <c r="F25" i="13" l="1"/>
  <c r="F480" i="2" l="1"/>
  <c r="F479" i="2"/>
  <c r="F478" i="2"/>
  <c r="F487" i="2"/>
  <c r="F486" i="2"/>
  <c r="F485" i="2"/>
  <c r="F477" i="2"/>
  <c r="F473" i="2"/>
  <c r="F472" i="2"/>
  <c r="J377" i="2"/>
  <c r="F376" i="2"/>
  <c r="F375" i="2"/>
  <c r="F374" i="2"/>
  <c r="F373" i="2"/>
  <c r="F372" i="2"/>
  <c r="F371" i="2"/>
  <c r="F370" i="2"/>
  <c r="F366" i="2"/>
  <c r="F365" i="2"/>
  <c r="F364" i="2"/>
  <c r="F363" i="2"/>
  <c r="F359" i="2"/>
  <c r="F358" i="2"/>
  <c r="F474" i="2" l="1"/>
  <c r="E481" i="2" s="1"/>
  <c r="F481" i="2" s="1"/>
  <c r="F482" i="2" s="1"/>
  <c r="F489" i="2" s="1"/>
  <c r="F367" i="2"/>
  <c r="F360" i="2"/>
  <c r="F377" i="2"/>
  <c r="F379" i="2" s="1"/>
  <c r="E24" i="10" l="1"/>
  <c r="E44" i="1"/>
  <c r="F461" i="2"/>
  <c r="F462" i="2"/>
  <c r="F460" i="2"/>
  <c r="F455" i="2"/>
  <c r="F451" i="2"/>
  <c r="F450" i="2"/>
  <c r="F440" i="2"/>
  <c r="F439" i="2"/>
  <c r="F434" i="2"/>
  <c r="F430" i="2"/>
  <c r="F429" i="2"/>
  <c r="F452" i="2" l="1"/>
  <c r="E456" i="2" s="1"/>
  <c r="F456" i="2" s="1"/>
  <c r="F457" i="2" s="1"/>
  <c r="F464" i="2" s="1"/>
  <c r="F431" i="2"/>
  <c r="E435" i="2" s="1"/>
  <c r="F435" i="2" s="1"/>
  <c r="F436" i="2" s="1"/>
  <c r="F442" i="2" s="1"/>
  <c r="F419" i="2"/>
  <c r="F418" i="2"/>
  <c r="F413" i="2"/>
  <c r="F409" i="2"/>
  <c r="F408" i="2"/>
  <c r="F837" i="2"/>
  <c r="F845" i="2"/>
  <c r="F844" i="2"/>
  <c r="F843" i="2"/>
  <c r="F842" i="2"/>
  <c r="F836" i="2"/>
  <c r="F832" i="2"/>
  <c r="F831" i="2"/>
  <c r="D31" i="12"/>
  <c r="D54" i="1" s="1"/>
  <c r="F54" i="1" s="1"/>
  <c r="H12" i="12"/>
  <c r="D12" i="12" s="1"/>
  <c r="I12" i="12"/>
  <c r="A14" i="12"/>
  <c r="D14" i="12"/>
  <c r="D16" i="12"/>
  <c r="D19" i="12"/>
  <c r="D20" i="12"/>
  <c r="H22" i="12"/>
  <c r="D22" i="12" s="1"/>
  <c r="D29" i="1" s="1"/>
  <c r="D23" i="12"/>
  <c r="D24" i="12"/>
  <c r="D25" i="12"/>
  <c r="D27" i="12"/>
  <c r="D46" i="1" s="1"/>
  <c r="D28" i="12"/>
  <c r="D29" i="12"/>
  <c r="D30" i="12"/>
  <c r="D49" i="1" s="1"/>
  <c r="D33" i="12"/>
  <c r="D34" i="12"/>
  <c r="D47" i="1"/>
  <c r="D35" i="1"/>
  <c r="D33" i="1"/>
  <c r="D32" i="1"/>
  <c r="D14" i="1"/>
  <c r="D17" i="10"/>
  <c r="D18" i="10"/>
  <c r="D19" i="8"/>
  <c r="D20" i="8"/>
  <c r="E35" i="8" l="1"/>
  <c r="E53" i="1"/>
  <c r="E29" i="8"/>
  <c r="E41" i="1"/>
  <c r="F410" i="2"/>
  <c r="E414" i="2" s="1"/>
  <c r="F414" i="2" s="1"/>
  <c r="F415" i="2" s="1"/>
  <c r="F421" i="2" s="1"/>
  <c r="F846" i="2"/>
  <c r="F833" i="2"/>
  <c r="E838" i="2" s="1"/>
  <c r="F838" i="2" s="1"/>
  <c r="F839" i="2" s="1"/>
  <c r="F31" i="12"/>
  <c r="D59" i="1"/>
  <c r="D15" i="12"/>
  <c r="D17" i="12"/>
  <c r="D48" i="1"/>
  <c r="D13" i="12"/>
  <c r="D58" i="1"/>
  <c r="E28" i="8" l="1"/>
  <c r="E40" i="1"/>
  <c r="F848" i="2"/>
  <c r="E27" i="8" l="1"/>
  <c r="E39" i="1"/>
  <c r="D17" i="8"/>
  <c r="D15" i="10"/>
  <c r="D14" i="8"/>
  <c r="D16" i="8" l="1"/>
  <c r="D12" i="10"/>
  <c r="D12" i="8"/>
  <c r="G44" i="1"/>
  <c r="K12" i="10"/>
  <c r="O12" i="10"/>
  <c r="AM17" i="10"/>
  <c r="AN17" i="10"/>
  <c r="AT17" i="10"/>
  <c r="D20" i="10"/>
  <c r="D21" i="10"/>
  <c r="D22" i="10"/>
  <c r="H23" i="10"/>
  <c r="D23" i="10" s="1"/>
  <c r="D43" i="1" s="1"/>
  <c r="D24" i="10"/>
  <c r="F24" i="10" s="1"/>
  <c r="H24" i="10"/>
  <c r="D26" i="10"/>
  <c r="D27" i="10"/>
  <c r="D29" i="10"/>
  <c r="D57" i="1" s="1"/>
  <c r="F38" i="1"/>
  <c r="H38" i="1" s="1"/>
  <c r="F74" i="1"/>
  <c r="F27" i="8"/>
  <c r="G39" i="1" s="1"/>
  <c r="F28" i="8"/>
  <c r="G40" i="1" s="1"/>
  <c r="F29" i="8"/>
  <c r="G41" i="1" s="1"/>
  <c r="F35" i="8"/>
  <c r="F796" i="2"/>
  <c r="F795" i="2"/>
  <c r="F794" i="2"/>
  <c r="F793" i="2"/>
  <c r="F789" i="2"/>
  <c r="F788" i="2"/>
  <c r="F787" i="2"/>
  <c r="F783" i="2"/>
  <c r="F782" i="2"/>
  <c r="D26" i="8"/>
  <c r="D13" i="8"/>
  <c r="F790" i="2" l="1"/>
  <c r="F797" i="2"/>
  <c r="D13" i="10"/>
  <c r="D44" i="1"/>
  <c r="F44" i="1" s="1"/>
  <c r="D14" i="10"/>
  <c r="F784" i="2"/>
  <c r="F799" i="2" s="1"/>
  <c r="E23" i="10" l="1"/>
  <c r="F23" i="10" s="1"/>
  <c r="G43" i="1" s="1"/>
  <c r="E43" i="1"/>
  <c r="F43" i="1" s="1"/>
  <c r="D15" i="8" l="1"/>
  <c r="H22" i="8"/>
  <c r="D23" i="8"/>
  <c r="H23" i="8"/>
  <c r="D24" i="8"/>
  <c r="D25" i="8"/>
  <c r="D27" i="8"/>
  <c r="D39" i="1" s="1"/>
  <c r="F39" i="1" s="1"/>
  <c r="D28" i="8"/>
  <c r="H30" i="8"/>
  <c r="D30" i="8" s="1"/>
  <c r="D32" i="8"/>
  <c r="D33" i="8"/>
  <c r="D34" i="8"/>
  <c r="D35" i="8"/>
  <c r="D53" i="1" s="1"/>
  <c r="F53" i="1" s="1"/>
  <c r="D37" i="8"/>
  <c r="D41" i="1"/>
  <c r="F41" i="1" s="1"/>
  <c r="D40" i="1"/>
  <c r="F40" i="1" s="1"/>
  <c r="A23" i="1"/>
  <c r="A65" i="1"/>
  <c r="A66" i="1" s="1"/>
  <c r="A69" i="1" s="1"/>
  <c r="A70" i="1" s="1"/>
  <c r="A13" i="1"/>
  <c r="A14" i="1" s="1"/>
  <c r="A15" i="1" s="1"/>
  <c r="A16" i="1" s="1"/>
  <c r="A17" i="1" s="1"/>
  <c r="A18" i="1" s="1"/>
  <c r="A19" i="1" s="1"/>
  <c r="A20" i="1" s="1"/>
  <c r="F1117" i="2"/>
  <c r="F1116" i="2"/>
  <c r="F1115" i="2"/>
  <c r="F1111" i="2"/>
  <c r="F1110" i="2"/>
  <c r="F1109" i="2"/>
  <c r="F1105" i="2"/>
  <c r="F1104" i="2"/>
  <c r="F695" i="2"/>
  <c r="F694" i="2"/>
  <c r="F693" i="2"/>
  <c r="F692" i="2"/>
  <c r="F691" i="2"/>
  <c r="F687" i="2"/>
  <c r="F686" i="2"/>
  <c r="F685" i="2"/>
  <c r="F681" i="2"/>
  <c r="F680" i="2"/>
  <c r="F1106" i="2" l="1"/>
  <c r="F1119" i="2"/>
  <c r="F688" i="2"/>
  <c r="F697" i="2"/>
  <c r="F1112" i="2"/>
  <c r="F1121" i="2" s="1"/>
  <c r="E34" i="12" s="1"/>
  <c r="F34" i="12" s="1"/>
  <c r="D42" i="1"/>
  <c r="A24" i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F682" i="2"/>
  <c r="F699" i="2" s="1"/>
  <c r="E59" i="1" l="1"/>
  <c r="F59" i="1" s="1"/>
  <c r="E37" i="8"/>
  <c r="F37" i="8" s="1"/>
  <c r="E42" i="1"/>
  <c r="F42" i="1" s="1"/>
  <c r="E30" i="8"/>
  <c r="F30" i="8" s="1"/>
  <c r="G42" i="1" s="1"/>
  <c r="A47" i="1"/>
  <c r="A48" i="1" s="1"/>
  <c r="A49" i="1" s="1"/>
  <c r="A50" i="1" s="1"/>
  <c r="A51" i="1" s="1"/>
  <c r="A52" i="1" s="1"/>
  <c r="A53" i="1" s="1"/>
  <c r="A57" i="1" s="1"/>
  <c r="A58" i="1" s="1"/>
  <c r="A59" i="1" s="1"/>
  <c r="F586" i="2" l="1"/>
  <c r="F1323" i="2" l="1"/>
  <c r="F1322" i="2"/>
  <c r="F1321" i="2"/>
  <c r="F1320" i="2"/>
  <c r="F1319" i="2"/>
  <c r="F1318" i="2"/>
  <c r="F1314" i="2"/>
  <c r="F1313" i="2"/>
  <c r="F1309" i="2"/>
  <c r="F1308" i="2"/>
  <c r="F1297" i="2"/>
  <c r="F1296" i="2"/>
  <c r="F1295" i="2"/>
  <c r="F1291" i="2"/>
  <c r="F1290" i="2"/>
  <c r="F1289" i="2"/>
  <c r="F1285" i="2"/>
  <c r="F1284" i="2"/>
  <c r="F1286" i="2" s="1"/>
  <c r="F1273" i="2"/>
  <c r="F1272" i="2"/>
  <c r="F1271" i="2"/>
  <c r="F1267" i="2"/>
  <c r="F1266" i="2"/>
  <c r="F1265" i="2"/>
  <c r="F1261" i="2"/>
  <c r="F1260" i="2"/>
  <c r="F1249" i="2"/>
  <c r="F1248" i="2"/>
  <c r="F1247" i="2"/>
  <c r="F1243" i="2"/>
  <c r="F1242" i="2"/>
  <c r="F1238" i="2"/>
  <c r="F1237" i="2"/>
  <c r="F1143" i="2"/>
  <c r="F1142" i="2"/>
  <c r="F1138" i="2"/>
  <c r="F1137" i="2"/>
  <c r="F1136" i="2"/>
  <c r="F1135" i="2"/>
  <c r="F1131" i="2"/>
  <c r="F1130" i="2"/>
  <c r="F1214" i="2"/>
  <c r="F1202" i="2"/>
  <c r="F1201" i="2"/>
  <c r="F1203" i="2"/>
  <c r="F1200" i="2"/>
  <c r="F1173" i="2"/>
  <c r="F1172" i="2"/>
  <c r="F1171" i="2"/>
  <c r="F1170" i="2"/>
  <c r="F1226" i="2"/>
  <c r="F1225" i="2"/>
  <c r="F1220" i="2"/>
  <c r="F1219" i="2"/>
  <c r="F1215" i="2"/>
  <c r="F1199" i="2"/>
  <c r="F1198" i="2"/>
  <c r="F1197" i="2"/>
  <c r="F1193" i="2"/>
  <c r="F1192" i="2"/>
  <c r="F1191" i="2"/>
  <c r="F1190" i="2"/>
  <c r="F1189" i="2"/>
  <c r="F1185" i="2"/>
  <c r="F1184" i="2"/>
  <c r="F1169" i="2"/>
  <c r="F1168" i="2"/>
  <c r="F1167" i="2"/>
  <c r="F1163" i="2"/>
  <c r="F1162" i="2"/>
  <c r="F1161" i="2"/>
  <c r="F1160" i="2"/>
  <c r="F1159" i="2"/>
  <c r="F1155" i="2"/>
  <c r="F1154" i="2"/>
  <c r="F1315" i="2" l="1"/>
  <c r="F1250" i="2"/>
  <c r="F1132" i="2"/>
  <c r="F1239" i="2"/>
  <c r="F1227" i="2"/>
  <c r="F1229" i="2" s="1"/>
  <c r="F1324" i="2"/>
  <c r="F1139" i="2"/>
  <c r="F1174" i="2"/>
  <c r="F1310" i="2"/>
  <c r="F1274" i="2"/>
  <c r="F1216" i="2"/>
  <c r="F1292" i="2"/>
  <c r="F1298" i="2"/>
  <c r="F1262" i="2"/>
  <c r="F1268" i="2"/>
  <c r="F1276" i="2" s="1"/>
  <c r="E69" i="1" s="1"/>
  <c r="F69" i="1" s="1"/>
  <c r="F1144" i="2"/>
  <c r="F1146" i="2" s="1"/>
  <c r="E62" i="1" s="1"/>
  <c r="F62" i="1" s="1"/>
  <c r="F1244" i="2"/>
  <c r="F1186" i="2"/>
  <c r="F1221" i="2"/>
  <c r="F1204" i="2"/>
  <c r="F1194" i="2"/>
  <c r="F1164" i="2"/>
  <c r="F1156" i="2"/>
  <c r="F1252" i="2" l="1"/>
  <c r="E68" i="1" s="1"/>
  <c r="F68" i="1" s="1"/>
  <c r="F1326" i="2"/>
  <c r="E72" i="1" s="1"/>
  <c r="F72" i="1" s="1"/>
  <c r="F1300" i="2"/>
  <c r="E70" i="1" s="1"/>
  <c r="F70" i="1" s="1"/>
  <c r="E66" i="1"/>
  <c r="F66" i="1" s="1"/>
  <c r="F1206" i="2"/>
  <c r="E65" i="1" s="1"/>
  <c r="F65" i="1" s="1"/>
  <c r="F1176" i="2"/>
  <c r="E64" i="1" s="1"/>
  <c r="F64" i="1" s="1"/>
  <c r="D554" i="2" l="1"/>
  <c r="E637" i="2"/>
  <c r="F1080" i="2"/>
  <c r="F1030" i="2"/>
  <c r="F1029" i="2"/>
  <c r="F940" i="2"/>
  <c r="F939" i="2"/>
  <c r="F938" i="2"/>
  <c r="F937" i="2"/>
  <c r="F812" i="2"/>
  <c r="F820" i="2"/>
  <c r="F819" i="2"/>
  <c r="F818" i="2"/>
  <c r="F817" i="2"/>
  <c r="F769" i="2" l="1"/>
  <c r="F808" i="2"/>
  <c r="F807" i="2"/>
  <c r="F758" i="2"/>
  <c r="F757" i="2"/>
  <c r="F708" i="2"/>
  <c r="F707" i="2"/>
  <c r="F654" i="2"/>
  <c r="F653" i="2"/>
  <c r="F626" i="2"/>
  <c r="F625" i="2"/>
  <c r="F574" i="2"/>
  <c r="F573" i="2"/>
  <c r="F600" i="2"/>
  <c r="F599" i="2"/>
  <c r="F550" i="2"/>
  <c r="F549" i="2"/>
  <c r="F548" i="2"/>
  <c r="F547" i="2"/>
  <c r="F543" i="2"/>
  <c r="F542" i="2"/>
  <c r="F498" i="2"/>
  <c r="F497" i="2"/>
  <c r="F388" i="2"/>
  <c r="F387" i="2"/>
  <c r="J348" i="2"/>
  <c r="F337" i="2"/>
  <c r="F336" i="2"/>
  <c r="F335" i="2"/>
  <c r="F334" i="2"/>
  <c r="F347" i="2"/>
  <c r="F346" i="2"/>
  <c r="F345" i="2"/>
  <c r="F344" i="2"/>
  <c r="F330" i="2"/>
  <c r="F329" i="2"/>
  <c r="F308" i="2"/>
  <c r="F307" i="2"/>
  <c r="F306" i="2"/>
  <c r="F305" i="2"/>
  <c r="F318" i="2"/>
  <c r="F317" i="2"/>
  <c r="F316" i="2"/>
  <c r="F315" i="2"/>
  <c r="F301" i="2"/>
  <c r="F300" i="2"/>
  <c r="J289" i="2"/>
  <c r="J266" i="2"/>
  <c r="F254" i="2"/>
  <c r="F253" i="2"/>
  <c r="F236" i="2"/>
  <c r="F235" i="2"/>
  <c r="F234" i="2"/>
  <c r="F233" i="2"/>
  <c r="F241" i="2"/>
  <c r="F229" i="2"/>
  <c r="F228" i="2"/>
  <c r="F197" i="2"/>
  <c r="F196" i="2"/>
  <c r="F164" i="2"/>
  <c r="F163" i="2"/>
  <c r="F140" i="2"/>
  <c r="F139" i="2"/>
  <c r="F114" i="2"/>
  <c r="F113" i="2"/>
  <c r="I8" i="2"/>
  <c r="J8" i="2" s="1"/>
  <c r="F88" i="2"/>
  <c r="F87" i="2"/>
  <c r="F894" i="2"/>
  <c r="F771" i="2"/>
  <c r="F502" i="2"/>
  <c r="F62" i="2"/>
  <c r="F61" i="2"/>
  <c r="F75" i="2"/>
  <c r="F74" i="2"/>
  <c r="F48" i="2"/>
  <c r="F34" i="2"/>
  <c r="F63" i="2" l="1"/>
  <c r="F255" i="2"/>
  <c r="F230" i="2"/>
  <c r="F141" i="2"/>
  <c r="F115" i="2"/>
  <c r="F89" i="2"/>
  <c r="I9" i="2"/>
  <c r="J9" i="2" s="1"/>
  <c r="J160" i="2" l="1"/>
  <c r="J162" i="2" s="1"/>
  <c r="J163" i="2" s="1"/>
  <c r="F202" i="2"/>
  <c r="F171" i="2" l="1"/>
  <c r="F170" i="2"/>
  <c r="F169" i="2"/>
  <c r="F168" i="2"/>
  <c r="F146" i="2"/>
  <c r="F147" i="2"/>
  <c r="F95" i="2"/>
  <c r="F69" i="2"/>
  <c r="F68" i="2"/>
  <c r="F43" i="2"/>
  <c r="F44" i="2"/>
  <c r="F18" i="2"/>
  <c r="F17" i="2"/>
  <c r="F16" i="2"/>
  <c r="F15" i="2"/>
  <c r="F14" i="2"/>
  <c r="F121" i="2"/>
  <c r="F122" i="2"/>
  <c r="F120" i="2"/>
  <c r="F96" i="2"/>
  <c r="F94" i="2"/>
  <c r="F41" i="2"/>
  <c r="J28" i="2"/>
  <c r="F1041" i="2" l="1"/>
  <c r="F1040" i="2"/>
  <c r="F398" i="2"/>
  <c r="F579" i="2"/>
  <c r="F1067" i="2"/>
  <c r="F1092" i="2"/>
  <c r="F1086" i="2"/>
  <c r="F1085" i="2"/>
  <c r="F1081" i="2"/>
  <c r="F1068" i="2"/>
  <c r="F1066" i="2"/>
  <c r="F1093" i="2"/>
  <c r="F1091" i="2"/>
  <c r="F1087" i="2"/>
  <c r="F1062" i="2"/>
  <c r="F1061" i="2"/>
  <c r="F1060" i="2"/>
  <c r="F1056" i="2"/>
  <c r="F1055" i="2"/>
  <c r="F1044" i="2"/>
  <c r="F1043" i="2"/>
  <c r="F1042" i="2"/>
  <c r="F1039" i="2"/>
  <c r="F1035" i="2"/>
  <c r="F1034" i="2"/>
  <c r="F1018" i="2"/>
  <c r="F1017" i="2"/>
  <c r="F1016" i="2"/>
  <c r="F1012" i="2"/>
  <c r="F1011" i="2"/>
  <c r="F1010" i="2"/>
  <c r="F1006" i="2"/>
  <c r="F1005" i="2"/>
  <c r="F994" i="2"/>
  <c r="F993" i="2"/>
  <c r="F992" i="2"/>
  <c r="F988" i="2"/>
  <c r="F987" i="2"/>
  <c r="F986" i="2"/>
  <c r="F982" i="2"/>
  <c r="F981" i="2"/>
  <c r="F970" i="2"/>
  <c r="F969" i="2"/>
  <c r="F968" i="2"/>
  <c r="F964" i="2"/>
  <c r="F963" i="2"/>
  <c r="F959" i="2"/>
  <c r="F958" i="2"/>
  <c r="F947" i="2"/>
  <c r="F946" i="2"/>
  <c r="F945" i="2"/>
  <c r="F944" i="2"/>
  <c r="F933" i="2"/>
  <c r="F932" i="2"/>
  <c r="F921" i="2"/>
  <c r="F920" i="2"/>
  <c r="F919" i="2"/>
  <c r="F918" i="2"/>
  <c r="F914" i="2"/>
  <c r="F913" i="2"/>
  <c r="F912" i="2"/>
  <c r="F908" i="2"/>
  <c r="F907" i="2"/>
  <c r="F895" i="2"/>
  <c r="F896" i="2"/>
  <c r="F893" i="2"/>
  <c r="F892" i="2"/>
  <c r="F888" i="2"/>
  <c r="F887" i="2"/>
  <c r="F886" i="2"/>
  <c r="F882" i="2"/>
  <c r="F881" i="2"/>
  <c r="F870" i="2"/>
  <c r="F868" i="2"/>
  <c r="F869" i="2"/>
  <c r="F867" i="2"/>
  <c r="F863" i="2"/>
  <c r="F862" i="2"/>
  <c r="F861" i="2"/>
  <c r="F857" i="2"/>
  <c r="F856" i="2"/>
  <c r="F813" i="2"/>
  <c r="F770" i="2"/>
  <c r="F768" i="2"/>
  <c r="F764" i="2"/>
  <c r="F763" i="2"/>
  <c r="F762" i="2"/>
  <c r="F745" i="2"/>
  <c r="F744" i="2"/>
  <c r="F740" i="2"/>
  <c r="F739" i="2"/>
  <c r="F735" i="2"/>
  <c r="F734" i="2"/>
  <c r="F723" i="2"/>
  <c r="F722" i="2"/>
  <c r="F721" i="2"/>
  <c r="F719" i="2"/>
  <c r="F718" i="2"/>
  <c r="F717" i="2"/>
  <c r="F713" i="2"/>
  <c r="F712" i="2"/>
  <c r="F664" i="2"/>
  <c r="F668" i="2"/>
  <c r="F667" i="2"/>
  <c r="F666" i="2"/>
  <c r="F665" i="2"/>
  <c r="F660" i="2"/>
  <c r="F659" i="2"/>
  <c r="F658" i="2"/>
  <c r="F639" i="2"/>
  <c r="F642" i="2"/>
  <c r="F641" i="2"/>
  <c r="F640" i="2"/>
  <c r="F638" i="2"/>
  <c r="F637" i="2"/>
  <c r="F636" i="2"/>
  <c r="F632" i="2"/>
  <c r="F631" i="2"/>
  <c r="F630" i="2"/>
  <c r="F614" i="2"/>
  <c r="F613" i="2"/>
  <c r="F612" i="2"/>
  <c r="F611" i="2"/>
  <c r="F610" i="2"/>
  <c r="F609" i="2"/>
  <c r="F605" i="2"/>
  <c r="F604" i="2"/>
  <c r="F587" i="2"/>
  <c r="F585" i="2"/>
  <c r="F584" i="2"/>
  <c r="F580" i="2"/>
  <c r="F578" i="2"/>
  <c r="F562" i="2"/>
  <c r="F561" i="2"/>
  <c r="F560" i="2"/>
  <c r="F559" i="2"/>
  <c r="F558" i="2"/>
  <c r="F557" i="2"/>
  <c r="F556" i="2"/>
  <c r="F555" i="2"/>
  <c r="F554" i="2"/>
  <c r="F544" i="2"/>
  <c r="F530" i="2"/>
  <c r="F531" i="2"/>
  <c r="F529" i="2"/>
  <c r="F525" i="2"/>
  <c r="F526" i="2" s="1"/>
  <c r="F520" i="2"/>
  <c r="F519" i="2"/>
  <c r="F508" i="2"/>
  <c r="F507" i="2"/>
  <c r="F503" i="2"/>
  <c r="F504" i="2" s="1"/>
  <c r="F397" i="2"/>
  <c r="F393" i="2"/>
  <c r="F392" i="2"/>
  <c r="F343" i="2"/>
  <c r="F342" i="2"/>
  <c r="F341" i="2"/>
  <c r="F314" i="2"/>
  <c r="F313" i="2"/>
  <c r="F312" i="2"/>
  <c r="F288" i="2"/>
  <c r="F290" i="2" s="1"/>
  <c r="F283" i="2"/>
  <c r="F282" i="2"/>
  <c r="F277" i="2"/>
  <c r="F278" i="2" s="1"/>
  <c r="F265" i="2"/>
  <c r="F267" i="2" s="1"/>
  <c r="F260" i="2"/>
  <c r="F259" i="2"/>
  <c r="F242" i="2"/>
  <c r="F243" i="2" s="1"/>
  <c r="F217" i="2"/>
  <c r="F216" i="2"/>
  <c r="F215" i="2"/>
  <c r="F214" i="2"/>
  <c r="F213" i="2"/>
  <c r="F212" i="2"/>
  <c r="F211" i="2"/>
  <c r="F210" i="2"/>
  <c r="F209" i="2"/>
  <c r="F208" i="2"/>
  <c r="F204" i="2"/>
  <c r="F203" i="2"/>
  <c r="F201" i="2"/>
  <c r="F198" i="2"/>
  <c r="F152" i="2"/>
  <c r="F151" i="2"/>
  <c r="F145" i="2"/>
  <c r="F144" i="2"/>
  <c r="F128" i="2"/>
  <c r="F127" i="2"/>
  <c r="F119" i="2"/>
  <c r="F118" i="2"/>
  <c r="F102" i="2"/>
  <c r="F101" i="2"/>
  <c r="F103" i="2" s="1"/>
  <c r="F93" i="2"/>
  <c r="F92" i="2"/>
  <c r="F76" i="2"/>
  <c r="F77" i="2" s="1"/>
  <c r="F70" i="2"/>
  <c r="F67" i="2"/>
  <c r="F66" i="2"/>
  <c r="F532" i="2" l="1"/>
  <c r="F129" i="2"/>
  <c r="F153" i="2"/>
  <c r="F1082" i="2"/>
  <c r="F1088" i="2"/>
  <c r="F1013" i="2"/>
  <c r="F1045" i="2"/>
  <c r="F1070" i="2"/>
  <c r="F1057" i="2"/>
  <c r="F1063" i="2"/>
  <c r="F736" i="2"/>
  <c r="F1095" i="2"/>
  <c r="F1036" i="2"/>
  <c r="F1031" i="2"/>
  <c r="F989" i="2"/>
  <c r="F1019" i="2"/>
  <c r="F1007" i="2"/>
  <c r="F965" i="2"/>
  <c r="F995" i="2"/>
  <c r="F983" i="2"/>
  <c r="F960" i="2"/>
  <c r="F971" i="2"/>
  <c r="F772" i="2"/>
  <c r="F915" i="2"/>
  <c r="F948" i="2"/>
  <c r="F941" i="2"/>
  <c r="F934" i="2"/>
  <c r="F909" i="2"/>
  <c r="F922" i="2"/>
  <c r="F655" i="2"/>
  <c r="F809" i="2"/>
  <c r="F889" i="2"/>
  <c r="F759" i="2"/>
  <c r="F821" i="2"/>
  <c r="F897" i="2"/>
  <c r="F883" i="2"/>
  <c r="F747" i="2"/>
  <c r="F871" i="2"/>
  <c r="F858" i="2"/>
  <c r="F864" i="2"/>
  <c r="F814" i="2"/>
  <c r="F765" i="2"/>
  <c r="F741" i="2"/>
  <c r="F714" i="2"/>
  <c r="F724" i="2"/>
  <c r="F709" i="2"/>
  <c r="F601" i="2"/>
  <c r="F615" i="2"/>
  <c r="F643" i="2"/>
  <c r="F661" i="2"/>
  <c r="F670" i="2"/>
  <c r="F633" i="2"/>
  <c r="F627" i="2"/>
  <c r="F606" i="2"/>
  <c r="F581" i="2"/>
  <c r="F302" i="2"/>
  <c r="F394" i="2"/>
  <c r="F575" i="2"/>
  <c r="F563" i="2"/>
  <c r="F589" i="2"/>
  <c r="F331" i="2"/>
  <c r="F499" i="2"/>
  <c r="F551" i="2"/>
  <c r="F521" i="2"/>
  <c r="F338" i="2"/>
  <c r="F509" i="2"/>
  <c r="F389" i="2"/>
  <c r="F348" i="2"/>
  <c r="F309" i="2"/>
  <c r="F319" i="2"/>
  <c r="F284" i="2"/>
  <c r="F292" i="2" s="1"/>
  <c r="F237" i="2"/>
  <c r="F245" i="2" s="1"/>
  <c r="F261" i="2"/>
  <c r="F269" i="2" s="1"/>
  <c r="F205" i="2"/>
  <c r="F218" i="2"/>
  <c r="F148" i="2"/>
  <c r="F155" i="2" s="1"/>
  <c r="F123" i="2"/>
  <c r="F97" i="2"/>
  <c r="F105" i="2" s="1"/>
  <c r="F71" i="2"/>
  <c r="F400" i="2" l="1"/>
  <c r="E15" i="8"/>
  <c r="F15" i="8" s="1"/>
  <c r="E15" i="12"/>
  <c r="F15" i="12" s="1"/>
  <c r="E16" i="12"/>
  <c r="F16" i="12" s="1"/>
  <c r="E14" i="10"/>
  <c r="F14" i="10" s="1"/>
  <c r="E16" i="8"/>
  <c r="F16" i="8" s="1"/>
  <c r="E20" i="1"/>
  <c r="F20" i="1" s="1"/>
  <c r="H20" i="1" s="1"/>
  <c r="E23" i="1"/>
  <c r="F23" i="1" s="1"/>
  <c r="H23" i="1" s="1"/>
  <c r="E17" i="1"/>
  <c r="F17" i="1" s="1"/>
  <c r="H17" i="1" s="1"/>
  <c r="E15" i="1"/>
  <c r="F15" i="1" s="1"/>
  <c r="H15" i="1" s="1"/>
  <c r="E22" i="1"/>
  <c r="F22" i="1" s="1"/>
  <c r="H22" i="1" s="1"/>
  <c r="F131" i="2"/>
  <c r="E16" i="1" s="1"/>
  <c r="F16" i="1" s="1"/>
  <c r="H16" i="1" s="1"/>
  <c r="F79" i="2"/>
  <c r="F1072" i="2"/>
  <c r="E29" i="10" s="1"/>
  <c r="F29" i="10" s="1"/>
  <c r="G57" i="1" s="1"/>
  <c r="F1097" i="2"/>
  <c r="E33" i="12" s="1"/>
  <c r="F33" i="12" s="1"/>
  <c r="G58" i="1" s="1"/>
  <c r="F1047" i="2"/>
  <c r="F1021" i="2"/>
  <c r="F997" i="2"/>
  <c r="F924" i="2"/>
  <c r="E29" i="12" s="1"/>
  <c r="F29" i="12" s="1"/>
  <c r="G48" i="1" s="1"/>
  <c r="F973" i="2"/>
  <c r="F899" i="2"/>
  <c r="F749" i="2"/>
  <c r="F950" i="2"/>
  <c r="F774" i="2"/>
  <c r="F823" i="2"/>
  <c r="F873" i="2"/>
  <c r="F726" i="2"/>
  <c r="F220" i="2"/>
  <c r="F617" i="2"/>
  <c r="F645" i="2"/>
  <c r="F672" i="2"/>
  <c r="F565" i="2"/>
  <c r="F591" i="2"/>
  <c r="F534" i="2"/>
  <c r="F511" i="2"/>
  <c r="E22" i="8" s="1"/>
  <c r="F22" i="8" s="1"/>
  <c r="F350" i="2"/>
  <c r="F321" i="2"/>
  <c r="E23" i="12" l="1"/>
  <c r="F23" i="12" s="1"/>
  <c r="E20" i="10"/>
  <c r="F20" i="10" s="1"/>
  <c r="E25" i="12"/>
  <c r="F25" i="12" s="1"/>
  <c r="E22" i="10"/>
  <c r="F22" i="10" s="1"/>
  <c r="E23" i="8"/>
  <c r="F23" i="8" s="1"/>
  <c r="E22" i="12"/>
  <c r="F22" i="12" s="1"/>
  <c r="E21" i="12"/>
  <c r="F21" i="12" s="1"/>
  <c r="E19" i="10"/>
  <c r="F19" i="10" s="1"/>
  <c r="E28" i="12"/>
  <c r="F28" i="12" s="1"/>
  <c r="E27" i="10"/>
  <c r="F27" i="10" s="1"/>
  <c r="E19" i="12"/>
  <c r="F19" i="12" s="1"/>
  <c r="E17" i="10"/>
  <c r="F17" i="10" s="1"/>
  <c r="E14" i="8"/>
  <c r="F14" i="8" s="1"/>
  <c r="E14" i="12"/>
  <c r="F14" i="12" s="1"/>
  <c r="E20" i="12"/>
  <c r="F20" i="12" s="1"/>
  <c r="E18" i="10"/>
  <c r="F18" i="10" s="1"/>
  <c r="E17" i="12"/>
  <c r="F17" i="12" s="1"/>
  <c r="E15" i="10"/>
  <c r="F15" i="10" s="1"/>
  <c r="E24" i="12"/>
  <c r="F24" i="12" s="1"/>
  <c r="E21" i="10"/>
  <c r="F21" i="10" s="1"/>
  <c r="E34" i="8"/>
  <c r="F34" i="8" s="1"/>
  <c r="E30" i="12"/>
  <c r="F30" i="12" s="1"/>
  <c r="G49" i="1" s="1"/>
  <c r="E27" i="12"/>
  <c r="F27" i="12" s="1"/>
  <c r="E26" i="10"/>
  <c r="F26" i="10" s="1"/>
  <c r="E17" i="8"/>
  <c r="F17" i="8" s="1"/>
  <c r="E21" i="8"/>
  <c r="F21" i="8" s="1"/>
  <c r="E25" i="8"/>
  <c r="F25" i="8" s="1"/>
  <c r="E20" i="8"/>
  <c r="F20" i="8" s="1"/>
  <c r="E32" i="8"/>
  <c r="F32" i="8" s="1"/>
  <c r="E19" i="8"/>
  <c r="F19" i="8" s="1"/>
  <c r="E24" i="8"/>
  <c r="F24" i="8" s="1"/>
  <c r="E26" i="8"/>
  <c r="F26" i="8" s="1"/>
  <c r="E33" i="8"/>
  <c r="F33" i="8" s="1"/>
  <c r="E37" i="1"/>
  <c r="F37" i="1" s="1"/>
  <c r="H37" i="1" s="1"/>
  <c r="E52" i="1"/>
  <c r="F52" i="1" s="1"/>
  <c r="H52" i="1" s="1"/>
  <c r="E56" i="1"/>
  <c r="F56" i="1" s="1"/>
  <c r="H56" i="1" s="1"/>
  <c r="E36" i="1"/>
  <c r="F36" i="1" s="1"/>
  <c r="H36" i="1" s="1"/>
  <c r="E58" i="1"/>
  <c r="F58" i="1" s="1"/>
  <c r="E30" i="1"/>
  <c r="F30" i="1" s="1"/>
  <c r="H30" i="1" s="1"/>
  <c r="E24" i="1"/>
  <c r="F24" i="1" s="1"/>
  <c r="H24" i="1" s="1"/>
  <c r="E35" i="1"/>
  <c r="F35" i="1" s="1"/>
  <c r="E57" i="1"/>
  <c r="F57" i="1" s="1"/>
  <c r="E29" i="1"/>
  <c r="F29" i="1" s="1"/>
  <c r="E32" i="1"/>
  <c r="F32" i="1" s="1"/>
  <c r="E25" i="1"/>
  <c r="F25" i="1" s="1"/>
  <c r="H25" i="1" s="1"/>
  <c r="E14" i="1"/>
  <c r="F14" i="1" s="1"/>
  <c r="E33" i="1"/>
  <c r="F33" i="1" s="1"/>
  <c r="E31" i="1"/>
  <c r="F31" i="1" s="1"/>
  <c r="H31" i="1" s="1"/>
  <c r="E19" i="1"/>
  <c r="F19" i="1" s="1"/>
  <c r="H19" i="1" s="1"/>
  <c r="E27" i="1"/>
  <c r="F27" i="1" s="1"/>
  <c r="H27" i="1" s="1"/>
  <c r="E49" i="1"/>
  <c r="F49" i="1" s="1"/>
  <c r="E26" i="1"/>
  <c r="F26" i="1" s="1"/>
  <c r="H26" i="1" s="1"/>
  <c r="E47" i="1"/>
  <c r="F47" i="1" s="1"/>
  <c r="E50" i="1"/>
  <c r="F50" i="1" s="1"/>
  <c r="H50" i="1" s="1"/>
  <c r="E34" i="1"/>
  <c r="F34" i="1" s="1"/>
  <c r="H34" i="1" s="1"/>
  <c r="E48" i="1"/>
  <c r="F48" i="1" s="1"/>
  <c r="E28" i="1"/>
  <c r="F28" i="1" s="1"/>
  <c r="H28" i="1" s="1"/>
  <c r="E46" i="1"/>
  <c r="F46" i="1" s="1"/>
  <c r="E51" i="1"/>
  <c r="F51" i="1" s="1"/>
  <c r="H51" i="1" s="1"/>
  <c r="F50" i="2"/>
  <c r="F51" i="2" s="1"/>
  <c r="F49" i="2"/>
  <c r="F42" i="2"/>
  <c r="F40" i="2"/>
  <c r="F185" i="2"/>
  <c r="F184" i="2"/>
  <c r="F183" i="2"/>
  <c r="F182" i="2"/>
  <c r="F181" i="2"/>
  <c r="F180" i="2"/>
  <c r="F179" i="2"/>
  <c r="F178" i="2"/>
  <c r="F177" i="2"/>
  <c r="F176" i="2"/>
  <c r="F13" i="2"/>
  <c r="F19" i="2" s="1"/>
  <c r="G14" i="1" l="1"/>
  <c r="G29" i="1"/>
  <c r="G46" i="1"/>
  <c r="G33" i="1"/>
  <c r="G35" i="1"/>
  <c r="G47" i="1"/>
  <c r="G32" i="1"/>
  <c r="F45" i="2"/>
  <c r="F173" i="2"/>
  <c r="F186" i="2"/>
  <c r="F165" i="2" l="1"/>
  <c r="F35" i="2"/>
  <c r="F36" i="2" s="1"/>
  <c r="F188" i="2" l="1"/>
  <c r="F53" i="2"/>
  <c r="E13" i="12" l="1"/>
  <c r="F13" i="12" s="1"/>
  <c r="E13" i="10"/>
  <c r="F13" i="10" s="1"/>
  <c r="E13" i="8"/>
  <c r="F13" i="8" s="1"/>
  <c r="E13" i="1"/>
  <c r="F13" i="1" s="1"/>
  <c r="H13" i="1" s="1"/>
  <c r="E18" i="1"/>
  <c r="F18" i="1" s="1"/>
  <c r="H18" i="1" s="1"/>
  <c r="F9" i="2"/>
  <c r="F10" i="2" s="1"/>
  <c r="F24" i="2" l="1"/>
  <c r="F26" i="2" s="1"/>
  <c r="E12" i="12" l="1"/>
  <c r="F12" i="12" s="1"/>
  <c r="E12" i="10"/>
  <c r="F12" i="10" s="1"/>
  <c r="F30" i="10" s="1"/>
  <c r="E12" i="8"/>
  <c r="E12" i="1"/>
  <c r="F12" i="1" s="1"/>
  <c r="H12" i="1" s="1"/>
  <c r="F31" i="10" l="1"/>
  <c r="F32" i="10"/>
  <c r="F33" i="10"/>
  <c r="F34" i="10" s="1"/>
  <c r="F12" i="8"/>
  <c r="F38" i="8" s="1"/>
  <c r="F39" i="8" s="1"/>
  <c r="F35" i="12"/>
  <c r="G60" i="1"/>
  <c r="H60" i="1" s="1"/>
  <c r="F75" i="1"/>
  <c r="F76" i="1" l="1"/>
  <c r="F35" i="10"/>
  <c r="F41" i="8"/>
  <c r="F42" i="8" s="1"/>
  <c r="F38" i="12"/>
  <c r="F39" i="12" s="1"/>
  <c r="F36" i="12"/>
  <c r="F37" i="12"/>
  <c r="F40" i="8"/>
  <c r="F78" i="1"/>
  <c r="F79" i="1" s="1"/>
  <c r="F77" i="1"/>
  <c r="F40" i="12" l="1"/>
  <c r="F43" i="8"/>
  <c r="F80" i="1"/>
</calcChain>
</file>

<file path=xl/sharedStrings.xml><?xml version="1.0" encoding="utf-8"?>
<sst xmlns="http://schemas.openxmlformats.org/spreadsheetml/2006/main" count="2191" uniqueCount="261">
  <si>
    <t>UND</t>
  </si>
  <si>
    <t>ADMINISTRACION</t>
  </si>
  <si>
    <t>IMPREVISTOS</t>
  </si>
  <si>
    <t>UTILIDAD</t>
  </si>
  <si>
    <t>IVA/UTILIDAD</t>
  </si>
  <si>
    <t>PRESUPUESTO OFICIAL</t>
  </si>
  <si>
    <t>CANT</t>
  </si>
  <si>
    <t>V UNIT</t>
  </si>
  <si>
    <t>V TOTAL</t>
  </si>
  <si>
    <t>ITEM</t>
  </si>
  <si>
    <t xml:space="preserve">DESCRIPCION </t>
  </si>
  <si>
    <t>OBRA</t>
  </si>
  <si>
    <t>A</t>
  </si>
  <si>
    <t>SUBTOTAL OBRA</t>
  </si>
  <si>
    <t>TOTAL OBRA</t>
  </si>
  <si>
    <t>UNIDAD</t>
  </si>
  <si>
    <t>CANTIDAD</t>
  </si>
  <si>
    <t>PRECIO PESO</t>
  </si>
  <si>
    <t>TOTAL PESO</t>
  </si>
  <si>
    <t>1 - Mano de Obra</t>
  </si>
  <si>
    <t>TOTAL 1</t>
  </si>
  <si>
    <t>2 - Equipos</t>
  </si>
  <si>
    <t>TOTAL 2</t>
  </si>
  <si>
    <t>3 - Materiales</t>
  </si>
  <si>
    <t>TOTAL 3</t>
  </si>
  <si>
    <t>COSTO DIRECTO</t>
  </si>
  <si>
    <t>M2</t>
  </si>
  <si>
    <t>PINTURA EXTERIOR( RASQUETEO , ESTUCO Y VINILO TIPO KORAZA 3 MANOS)</t>
  </si>
  <si>
    <t>PINTURA</t>
  </si>
  <si>
    <t>Jornal</t>
  </si>
  <si>
    <t>AYUDANTE (2) AA - Prestaciones</t>
  </si>
  <si>
    <t>VOLQUETA M3</t>
  </si>
  <si>
    <t>H</t>
  </si>
  <si>
    <t>ML</t>
  </si>
  <si>
    <t>HERRAMIENTA MENOR</t>
  </si>
  <si>
    <t>GLB</t>
  </si>
  <si>
    <t>CRUCETA ANDAMIO</t>
  </si>
  <si>
    <t>DIA</t>
  </si>
  <si>
    <t>ALAMBRE GALVANIZADO # 10</t>
  </si>
  <si>
    <t>kls</t>
  </si>
  <si>
    <t>UN</t>
  </si>
  <si>
    <t>VINILO TIPO 1</t>
  </si>
  <si>
    <t>GLN</t>
  </si>
  <si>
    <t>PERNO 1/2" ALT. VEL. 1 3/4"</t>
  </si>
  <si>
    <t>CINTA MALLA FIBRA DE VIDRIO X 90M 50MM 75G/M2</t>
  </si>
  <si>
    <t>RL</t>
  </si>
  <si>
    <t>LIJA DE AGUA 150 SUPER</t>
  </si>
  <si>
    <t>DESCRIPCION</t>
  </si>
  <si>
    <t>MORTERO IMPERMEABILIZADO</t>
  </si>
  <si>
    <t>KL</t>
  </si>
  <si>
    <t>DISOLVENTE</t>
  </si>
  <si>
    <t>RODILLO FELPA</t>
  </si>
  <si>
    <t>ROL</t>
  </si>
  <si>
    <t>BROCHA CERDA MONA 4</t>
  </si>
  <si>
    <t>ACRONAL</t>
  </si>
  <si>
    <t>CUBIERTA, CANALES Y CIELO RASOS</t>
  </si>
  <si>
    <t>DESMONTE DE CUBIERTAS (TEJA DE BARRO Y BASE ONDULADA DE FIBROCEMENTO) INCLUYE RETIRO</t>
  </si>
  <si>
    <t>LIMPIEZA DE CANALES DE AGUAS LLUVIAS</t>
  </si>
  <si>
    <t>MUROS, PUERTAS, VENTANAS, PISOS, ACABADOS, PINTURAS</t>
  </si>
  <si>
    <t>MANTENIMIENTO DE MURO (LADRILLO A LA VISTA) DE CERRAMIENTO</t>
  </si>
  <si>
    <t>ESMALTE MALLA ESLABONADA</t>
  </si>
  <si>
    <t>LIMPIEZA TANQUES DE ALMACENAMIENTO (INCLUYE RETIRO DE LODOS Y ESCOMBROS)</t>
  </si>
  <si>
    <t>M3</t>
  </si>
  <si>
    <t>DESMONTE DE CUBIERTAS (TEJA DE BARRO Y BASE ONDULADA DE FIBROCEMENTO, INCLUYE RETIRO)</t>
  </si>
  <si>
    <t>GANCHO TEJA ASB MADERA</t>
  </si>
  <si>
    <t>TEJA FIBROCEMENTO No 6</t>
  </si>
  <si>
    <t>CABALLETE FIBROCEMENTO</t>
  </si>
  <si>
    <t>TEJA DE TUBO (BARRO)</t>
  </si>
  <si>
    <t>CONCERTINA DOBLE 45 CM ACERO INOXIDABLE</t>
  </si>
  <si>
    <t>PINTURA EXTERIOR (RASQUETEO, ESTUCO Y VINILO TIPO KORAZA 3 MANOS)</t>
  </si>
  <si>
    <t xml:space="preserve">VINILO TIPO KORAZA 3M COLOR ACTUAL </t>
  </si>
  <si>
    <t>GL</t>
  </si>
  <si>
    <t>SOLDADURA</t>
  </si>
  <si>
    <t>CEPILLO ACERO - MADERA</t>
  </si>
  <si>
    <t>LIJA 400    AGUA</t>
  </si>
  <si>
    <t>PLIE</t>
  </si>
  <si>
    <t>ANTICORROSIVO ROJO</t>
  </si>
  <si>
    <t>ESMALTE PINTURA DE ALUMINIO</t>
  </si>
  <si>
    <t>PTE</t>
  </si>
  <si>
    <t>PUNTILLA 1" SIN CABEZA</t>
  </si>
  <si>
    <t>LIB</t>
  </si>
  <si>
    <t>MARCO DE MADERA PINO 1,00X2,40M 12 CM</t>
  </si>
  <si>
    <t>BISAGRA DE 3"</t>
  </si>
  <si>
    <t>TORNILLO AUTORROSCANTE PARA MADERA DE 8X2"X100 UN</t>
  </si>
  <si>
    <t>SELLADOR 3-8</t>
  </si>
  <si>
    <t>MERULEX LFS (TRANSP) 3,5 KG</t>
  </si>
  <si>
    <t>SELLO POLIURETANO</t>
  </si>
  <si>
    <t>VENTANA EN MADERA</t>
  </si>
  <si>
    <t>VIDRIO 4 MM</t>
  </si>
  <si>
    <t>ENCHAPE</t>
  </si>
  <si>
    <t>CEMENTO BLANCO</t>
  </si>
  <si>
    <t>BRIDA SANITARIA FLEXIBLE 4"</t>
  </si>
  <si>
    <t>DESMONTE, SUMINISTRO E INSTALACION DE ORINALES TIPO INSTITUCIONAL (INCLUYE ACCESORIOS Y RETIRO)</t>
  </si>
  <si>
    <t>PINTURA INTERIOR (RASQUETEO, ESTUCO Y VINILO TIPO 1, 3 MANOS</t>
  </si>
  <si>
    <t>PINTURA INTERIOR (RASQUETEO, ESTUCO Y VINILO TIPO 1, 3 MANOS)</t>
  </si>
  <si>
    <t>KLS</t>
  </si>
  <si>
    <t>AYUDANTE (2) AA - PRESTACIONES</t>
  </si>
  <si>
    <t>GANCHO TEJA ESTR MADERA</t>
  </si>
  <si>
    <t>1 OFICIAL CON PRESTACIONES</t>
  </si>
  <si>
    <t>AMARRA DE ALAMBRE</t>
  </si>
  <si>
    <t>HIDROLAVADORA</t>
  </si>
  <si>
    <t>VOLQUETA</t>
  </si>
  <si>
    <t>PEGACOR</t>
  </si>
  <si>
    <t>WAIPE</t>
  </si>
  <si>
    <t>ACOPLE LAVAMANOS</t>
  </si>
  <si>
    <t>AYUDANTE (1) AA - Prestaciones</t>
  </si>
  <si>
    <t>CINTA ENMASCARAR 40m*24mm</t>
  </si>
  <si>
    <t>MALLA GALVANIZADA  2  1/4 PULG. 2,5 MM</t>
  </si>
  <si>
    <t>BOQUILLA PARA JUNTAS</t>
  </si>
  <si>
    <t>SANITARIO TIPO POWER ONE CORONA, CAPACIDAD DE 4.8 LITROS POR DESCARGA.</t>
  </si>
  <si>
    <t>LAVAMANOS SOBREPONER, REDONDO BLANCO</t>
  </si>
  <si>
    <t xml:space="preserve">Jornal </t>
  </si>
  <si>
    <t>MANO DE OBRA 1 AYUDANTE CON PRESTACIONES</t>
  </si>
  <si>
    <t xml:space="preserve">TUBO CONDUIT  3/4" </t>
  </si>
  <si>
    <t>CAJA DE 2X4</t>
  </si>
  <si>
    <t>CABLE No.12</t>
  </si>
  <si>
    <t>TOMA CORRIENTE DOBLE CON POLO A TIERRA</t>
  </si>
  <si>
    <t xml:space="preserve">CINTA AISLANTE </t>
  </si>
  <si>
    <t>ROLLO</t>
  </si>
  <si>
    <t>PERFIL CANAL ESTRUCTURAL 90MM X 2,44 M</t>
  </si>
  <si>
    <t>TORNILLO AUTORROSCANTE DE 6X1"</t>
  </si>
  <si>
    <t>GUAPI</t>
  </si>
  <si>
    <t>PINTURA INTERIOR (RASQUETEO ESTUCO Y VINILO 3 MANOS)</t>
  </si>
  <si>
    <t>VINILO TIPO KORAZA 3M COLOR ACTUAL PALETEA</t>
  </si>
  <si>
    <t>MANTENIMIENTO GENERAL Y REPOSICION DE PAÑETE IMPERMEABILIZADO MUROS 1:3, E= 1.5 CM</t>
  </si>
  <si>
    <t xml:space="preserve">MORTERO IMPERMEABILIZADO </t>
  </si>
  <si>
    <t/>
  </si>
  <si>
    <t>AYUDANTE (1) - PRESTACIONES</t>
  </si>
  <si>
    <t>KG</t>
  </si>
  <si>
    <t>ALAMBRE NEGRO</t>
  </si>
  <si>
    <t>BOLSA DE RECURSOS</t>
  </si>
  <si>
    <t>ZP</t>
  </si>
  <si>
    <t>ZONA PACIFICO (GUAPI)</t>
  </si>
  <si>
    <t>ZC</t>
  </si>
  <si>
    <t>BR</t>
  </si>
  <si>
    <t>BOLSA</t>
  </si>
  <si>
    <t>BR1</t>
  </si>
  <si>
    <t>DEMOLICION DE PISO EN PIEDRA (INCLUYE RETIRO)</t>
  </si>
  <si>
    <t>CONSTRUCCION DE LOSA EN CONCRETO REFORZADO E=0,20 MTS</t>
  </si>
  <si>
    <t xml:space="preserve">CONSTRUCCION DE SUMIDEROS EN CONCRETO DE 0,60*0,60 MTS CON TAPA MATALICA </t>
  </si>
  <si>
    <t xml:space="preserve">SUMINISTRO E INSTLACION DE TUBERIA 8" PVC </t>
  </si>
  <si>
    <t xml:space="preserve">MANTENIMIENTO DE PUERTAS Y VENTANAS (INCLUYE RASQUETEO, MASILLA Y PINTURA) </t>
  </si>
  <si>
    <t>MANTENIMIENTO REJA PERIMETRAL (INCLUYE RASQUETEO, MASILLA Y PINTURA)</t>
  </si>
  <si>
    <t>Panel Led Redondo 18w Sobreponer Luz Blanca</t>
  </si>
  <si>
    <t>ELECTRICO Y DATOS</t>
  </si>
  <si>
    <t>OBJETO: OBRAS CIVILES PREVENTIVAS Y/O CORRECTIVAS PARA EL MANTENIMIENTO Y MEJORAMIENTO DE LA INFRAESTRUCTURA FISICA BAJO LA MODALIDAD DE MONTO AGOTABLE EN LAS SEDES DE LOS PALACIOS DE JUSTICIA DEL DISTRITO JUDICIAL DE POPAYAN, II ETAPA</t>
  </si>
  <si>
    <t>RAMA JUDICIAL – DIRECCION SECCIONAL DE ADMINISTRACION JUDICIAL DE POPAYAN</t>
  </si>
  <si>
    <t>SUMINISTRO E INSTALACION BASE CUBIERTA TEJA ONDULADA FIBROCEMENTO</t>
  </si>
  <si>
    <t xml:space="preserve">SUMINISTRO E INSTALACION DE CABALLETE DE FIBROCEMENTO </t>
  </si>
  <si>
    <t>SUMINISTRO E INSTALACION TEJA DE TUBO (BARRO)</t>
  </si>
  <si>
    <t>DESMONTE, SUMINISTRO E INSTALACION DE CIELO RASO SUPERBOARD 6 MM (INCLUYE PINTURA)</t>
  </si>
  <si>
    <t>DESMONTE, SUMINISTRO E INSTALACION DE PUERTA EN MADERA (INCLUYE MARCO, CHAPA Y RETIRO)</t>
  </si>
  <si>
    <t>DESMONTE, SUMINISTRO E INSTALACION DE VIDRIOS 4 MM (INCLUYE RETIRO)</t>
  </si>
  <si>
    <t>DESMONTE, SUMINISTRO E INSTALACION DE SANITARIOS TIPO INSTITUCIONAL (INCLUYE ACCESORIOS Y RETIRO)</t>
  </si>
  <si>
    <t>DESMONTE, SUMINISTRO E INSTALACION DE LAVAMANOS TIPO INSTITUCIONAL (INCLUYE ACCESORIOS Y RETIRO)</t>
  </si>
  <si>
    <t xml:space="preserve">DESMONTE, SUMINISTRO E INSTALACION DE PANEL LED REDONDO 18W SOBREPONER LUZ BLANCA (INCLUYE RETIRO) </t>
  </si>
  <si>
    <t xml:space="preserve">Nota 1: los valores unitarios deben incluir todas las actividades necesarias para correcta ejecuciOn del Item, tales como mano de obra, equipos, herramientas, materiales, transporte, retiro y disposiciOn final.
Nota 2: la bolsa de monto agotable serA determinada por la Entidad no puede ser modficada
</t>
  </si>
  <si>
    <t>SUMINISTRO E INSTALACION DE MURO DIVISORIO EN SUPERBOARD 10 CM (INCLUYE PINTURA Y AISLAMIENTO ACUSTICO)</t>
  </si>
  <si>
    <t>HIDRAULICO Y SANITARIO</t>
  </si>
  <si>
    <t>DESMONTE, SUMINISTRO E INSTALACION DE CIELO RASO PLANO DRYWALL (INCLUYE PINTURA)</t>
  </si>
  <si>
    <t>SUMINISTRO E INSTALACION DE CONCERTINA DOBLE 45 CM INOX-ACCESORIOS</t>
  </si>
  <si>
    <t>SUMINISTRO E INSTALACION DE ALAMBRE DE PUAS 3 HILOS, CALIBRE 12,5</t>
  </si>
  <si>
    <t>ESMALTE GUARDAESCOBA (INCLUYE RASQUETEO Y APLICACION A 3 MANOS) H&lt;= 20 CM</t>
  </si>
  <si>
    <t>SUMINISTRO E INSTALACION DE MALLA ESLABONADA GALVANIZADA 2 1/4 PULG. 2,5MM</t>
  </si>
  <si>
    <t>DESMONTE, SUMINISTRO E INSTALACION DE VENTANA EN MADERA (INCLUYE MARCO Y RETIRO)</t>
  </si>
  <si>
    <t>DEMOLICION, SUMINISTRO E INSTALACION DE TABLETA DE PISO (INCLUYE RETIRO)</t>
  </si>
  <si>
    <t xml:space="preserve">DESMONTE, SUMINISTRO E INSTALACION DE LUMINARIAS 60*60 CM (INCLUYE RETIRO) </t>
  </si>
  <si>
    <t xml:space="preserve">DESMONTE, SUMINISTRO E INSTALACION DE LUMINARIAS 30*120 CM (INCLUYE RETIRO) </t>
  </si>
  <si>
    <t>MANTENIMIENTO GENERAL Y REPOSICION DE PAÑETE IMPERMEABILIZADO</t>
  </si>
  <si>
    <t xml:space="preserve">SUMINISTRO E INSTALACION DE IMPERMEABILIZANTE ACRILICO </t>
  </si>
  <si>
    <t>DESMONTE, SUMINISTRO E INSTALACION DE JUEGO DE GRIFERIA Y ACCESORIOS PARA SANITARIOS (INCLUYE RETIRO)</t>
  </si>
  <si>
    <t>DESMONTE, SUMINISTRO E INSTALACION DE JUEGO DE GRIFERIA Y ACCESORIOS PARA LAVAMANOS (INCLUYE RETIRO)</t>
  </si>
  <si>
    <t>DESMONTE, SUMINISTRO E INSTALACION DE JUEGO DE GRIFERIA Y ACCESORIOS PARA ORINALES (INCLUYE RETIRO)</t>
  </si>
  <si>
    <t>SUMINISTRO E INSTALACION DE PUNTO ELECTRICO</t>
  </si>
  <si>
    <t>Bolsa de monto agotable para los items que esten definidos en cantidad (1) y que dependen de la necesidad de la entidad y actividades que no estEn en el presupuesto oficial.</t>
  </si>
  <si>
    <t xml:space="preserve">ZONA CONTINENTAL (SEDES POPAYAN, EL TAMBO, EL BORDO, PUERTO TEJADA, CORINTO, CALOTO, SANTANDER DE QUILICHAO) </t>
  </si>
  <si>
    <t>SUMINISTRO E INSTALACION DE CINTA ASFALTICA 33 CM</t>
  </si>
  <si>
    <t>DEMOLICION, SUMINISTRO E INSTALACION DE ENCHAPE CERAMICO TRAFICO 4 (INCLUYE RETIRO)</t>
  </si>
  <si>
    <t>ALAMBRE DE PUAS</t>
  </si>
  <si>
    <t>CODIGO</t>
  </si>
  <si>
    <t>TABLON  3 M</t>
  </si>
  <si>
    <t>TABLON 3M</t>
  </si>
  <si>
    <t>SUMINISTRO E INSTALACION DE CABALLETE FIBROCEMENTO</t>
  </si>
  <si>
    <t>DESMONTE, SUMINISTRO E INSTALACION DE CIELO RASO SUPERBOARD 6MM (INCLUYE PINTURA)</t>
  </si>
  <si>
    <t>SUMINISTRO E INSTALACION DE CONCERTINA DOBLE 45 CM INOXIDABLE- ACCESORIOS</t>
  </si>
  <si>
    <t xml:space="preserve">SUMINISTRO E INSTALACION DE ALAMBRE DE PUAS 3 HILOS, CALIBRE 12,5 </t>
  </si>
  <si>
    <t>VINILO TIPO 1, 3M PINTURA PARA INTERIOR IMPERMEABLE HIDROFUGA 1 GALON BLANCO</t>
  </si>
  <si>
    <t>ESMALTE GUARDAESCOBA (INCLUYE RASQUETEO Y APLICACION A 3 MANOS)</t>
  </si>
  <si>
    <t>SUMINISTRO E INSTALACION DE MALLA ESLABONADA GALVANIZADA 2 1/4 PULG. 2,5 MM</t>
  </si>
  <si>
    <t xml:space="preserve">DESMONTE, SUMINISTRO E INSTALACION DE PUERTA EN MADERA (INCLUYE MARCO, CHAPA Y RETIRO) </t>
  </si>
  <si>
    <t xml:space="preserve">DESMONTE, SUMINISTRO E INSTALACION DE VENTANA EN MADERA (INCLUYE MARCO Y RETIRO) </t>
  </si>
  <si>
    <t>KIT INSTALACION SANITARIO CON BRIDA</t>
  </si>
  <si>
    <t>CINTA TEFLON 1 PULG X 10 M</t>
  </si>
  <si>
    <t xml:space="preserve">ORINAL TIPO ARRECIFE CORONA,PARA FLUXOMETRO BLANCO, CUMPLE CON REQUERIMIENTOS ADA PARA DISCAPACITADOS </t>
  </si>
  <si>
    <t>DESMONTE, SUMINISTRO E INSTALACION DE LUMINARIAS 60*60 CM (INCLUYE RETIRO)</t>
  </si>
  <si>
    <t>DESMONTE, SUMINISTRO E INSTALACION DE LUMINARIAS 30*120 CM (INCLUYE RETIRO)</t>
  </si>
  <si>
    <t>VINILO TIPO 1 3M PINTURA PARA INTERIOR IMPERMEABLE HIDROFUGA 1 GALON BLANCO</t>
  </si>
  <si>
    <t>SUMINISTRO E INSTALACION DE IMPERMEABILIZANTE ACRILICO</t>
  </si>
  <si>
    <t>IMPERMEABILIZANTE ACRILICO</t>
  </si>
  <si>
    <t>PEGANTE PARA MADERA USO INDUSTRIAL CARPINTERIA 1 GN</t>
  </si>
  <si>
    <t xml:space="preserve">GRIFERIA PARA LAVAMANOS BAJA PICO CURVO AGUA FRIA </t>
  </si>
  <si>
    <t>GRIFERIA PUSH TRADICIONAL TIPO CORONA</t>
  </si>
  <si>
    <t>DESMONTE, SUMINISTRO E INSTALACION DE JUEGO DE GRIFERIA Y ACCESORIOS PARA SANITARIOS (INCLUYE  RETIRO)</t>
  </si>
  <si>
    <t>MANO DE OBRA DESMONTE JUEGO DE GRIFERIA Y ACCESORIOS SANITARIOS ACTUAL E INSTALACION DE NUEVA GRIFERIA</t>
  </si>
  <si>
    <t>GRIFERIA 1/2" TANQUE</t>
  </si>
  <si>
    <t>DESMONTE, SUMINISTRO E INSTALACION DE JUEGO DE GRIFERIA Y ACCESORIOS PARA LAVAMANOS (INCLUYE  RETIRO)</t>
  </si>
  <si>
    <t>MANO DE OBRA DESMONTE JUEGO DE GRIFERIA Y ACCESORIOS LAVAMANOS ACTUAL E INSTALACION DE NUEVA GRIFERIA</t>
  </si>
  <si>
    <t>DESMONTE, SUMINISTRO E INSTALACION DE JUEGO DE GRIFERIA Y ACCESORIOS PARA ORINALES (INCLUYE  RETIRO)</t>
  </si>
  <si>
    <t>MANO DE OBRA DESMONTE JUEGO DE GRIFERIA Y ACCESORIOS ORINALES ACTUAL E INSTALACION DE NUEVA GRIFERIA</t>
  </si>
  <si>
    <t>ARNES DE SEGURIDAD (COMPLETO)</t>
  </si>
  <si>
    <t>ESMALTE DOMESTICO</t>
  </si>
  <si>
    <t>ANDAMIO METALICO TUBULAR</t>
  </si>
  <si>
    <t>SUMINISTRO E INSTALACION CINTA ASFALTICA 33 CM</t>
  </si>
  <si>
    <t>CINTA ASFALTICA 33 CM</t>
  </si>
  <si>
    <t>LAMINA DRYWALL 1/2" SUPERPLACA</t>
  </si>
  <si>
    <t>ANGULO CAL.26 LAMINA GALV. 2.44 M</t>
  </si>
  <si>
    <t>CHAZO PLASTICO 1/4"</t>
  </si>
  <si>
    <t>PERFIL OMEGA METALICO 63 MM X 2,44M</t>
  </si>
  <si>
    <t>MASILLA SUPERMASTICK 4,5 GLN</t>
  </si>
  <si>
    <t>LAMINA SUPERBOARD 6MM</t>
  </si>
  <si>
    <t>PERFIL OMEGA METALICO 63 MM X 3,05 M</t>
  </si>
  <si>
    <t>ESTUCO PLASTICO</t>
  </si>
  <si>
    <t>MASILLA SUPERMASTICK 4.5 GLN</t>
  </si>
  <si>
    <t>ESCOBA CERDA PLASTICA</t>
  </si>
  <si>
    <t>LAMINA MDF 1,83X2,44X28 MM, 2 CARAS</t>
  </si>
  <si>
    <t>LAMINA TRIPLEX HAYA 1,22X2,44 3,2 MM, 2 CARAS</t>
  </si>
  <si>
    <t>MARCO DE MADERA CLASICO</t>
  </si>
  <si>
    <t>MANO DE OBRA DESMONTE APARATO ACTUAL E INSTALACION DEL NUEVO (EMSAMBLE DEL PRODUCTO. CONEXION A PUNTO HIDRAULICO. INSTALACION SANITARIO)</t>
  </si>
  <si>
    <t>MANO DE OBRA DESMONTE LAVAMANOS ACTUAL E INSTALACION DEL NUEVO, (EMSAMBLE DEL PRODUCTO, SILICONADO, CONEXION A PUNTO HIDRAULICO. INSTALACION DEL LAVAMANOS). SE REPONDRA CONFORME AL TIPO DE LAVAMANOS EXISTENTE, BIEN SEA DE SOBREPONER O PEDESTAL.</t>
  </si>
  <si>
    <t>MANO DE OBRA DESMONTE ORINAL ACTUAL E INSTALACION DEL NUEVO (EMSAMBLE DEL PRODUCTO. CONEXION A PUNTO HIDRAULICO. INSTALACION ORINAL)</t>
  </si>
  <si>
    <t>GRIFERIA DE LAVAMANOS CON AHORRO DE AGUA, ACABADO SUPERIOR, MAYOR ESPESOR EN EL CROMADO QUE LO HACE MAS BRILLANTE Y RESISTENTE A LA CORROSION</t>
  </si>
  <si>
    <t>GRIFERIA VALVULA PUSH ORINAL DE BAJO CONSUMO INSTITUCIONAL</t>
  </si>
  <si>
    <t>LAMPARA LED PANEL 60X60 CM 48W</t>
  </si>
  <si>
    <t>LAMPARA PANEL LED SOBREPONER 30X120 48 W BLANCA</t>
  </si>
  <si>
    <t>SUMINISTRO E INSTALACION DE REVESTIMIENTO PLASTICO TEXTURIZADO TIPO GRANIPLAST (INCLUYE RELLENO PARA EXTERIORES)</t>
  </si>
  <si>
    <t>DEMOLICION, SUMINISTRO E INSTALACION DE ENCHAPE PARA BAÑOS (INCLUYE RETIRO)</t>
  </si>
  <si>
    <t xml:space="preserve">SUMINISTRO E INSTLACION DE TUBERIA 4" PVC </t>
  </si>
  <si>
    <t>SUMINISTRO E INSTLACION DE TUBERIA 4" PVC BAJANTE DE AGUAS LLUVIAS</t>
  </si>
  <si>
    <t xml:space="preserve">ZONA CONTINENTAL (SEDE PUERTO TEJADA) </t>
  </si>
  <si>
    <t xml:space="preserve">ZONA CONTINENTAL (SEDE SANTANDER DE QUILICHAO) </t>
  </si>
  <si>
    <t xml:space="preserve">ZONA CONTINENTAL (SEDE EL BORDO) </t>
  </si>
  <si>
    <t xml:space="preserve">ROTO MARTILLO DEMOLEDOR </t>
  </si>
  <si>
    <t>VIBRADOR ELECTRICO PARA CONCRETO</t>
  </si>
  <si>
    <t>BASICO CONCRETO 21 MPA</t>
  </si>
  <si>
    <t>MALLA ELECTROSOLDADA ESTANDAR 6MM</t>
  </si>
  <si>
    <t xml:space="preserve">TAPA METÁLICA </t>
  </si>
  <si>
    <t>TUBERIA 8 " PVC</t>
  </si>
  <si>
    <t>PEGANTE PVC</t>
  </si>
  <si>
    <t>LIMPIADOR PVC</t>
  </si>
  <si>
    <t xml:space="preserve">LIJA DE AGUA NO. 180 </t>
  </si>
  <si>
    <t>AGUA</t>
  </si>
  <si>
    <t>LTS</t>
  </si>
  <si>
    <t>GRANIPLAST ESGRAFIADO</t>
  </si>
  <si>
    <t>PINTURA VINILO EXTERIOR</t>
  </si>
  <si>
    <t>GAL</t>
  </si>
  <si>
    <t>RELLENO LISTO PARA EXTERIORES</t>
  </si>
  <si>
    <t>TUBERIA 4 " PVC</t>
  </si>
  <si>
    <t xml:space="preserve">ZONA CONTINENTAL (SEDE POPAYAN - PALACIO NACIONAL FRANCISCO DE PAULA SANTANDER ) </t>
  </si>
  <si>
    <t xml:space="preserve">ZONA CONTINENTAL (SEDE POPAYAN PALACIO DE JUSTICIA LUIS CARLOS PEREZ ) </t>
  </si>
  <si>
    <t xml:space="preserve">ZONA CONTINENTAL (SEDE POPAYAN - JUZGADOS DE RESPONSABILIDAD PENAL PARA ADOLESCENTES) </t>
  </si>
  <si>
    <t>SUMINISTRO E INSTALACION DE PANEL DIVISORIO ELABORADO EN LAMINA COLL ROLLED CALIBRE 20, PINTURA ELECTROSTATICA AL HORNO CUENTA CON SOCALOS INFERIORES QUE PERMITEN CABLEADO ELECTRICO DE VOZ Y DATOS, BALDOSAS INTERMEDIA ENCHAPADA EN FORMICA Y MARCOVIDRIO SUPERIOR CON VIDRIO OPALIZADO DE 4mm H=1.70 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</si>
</sst>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0"/>
    <numFmt numFmtId="166" formatCode="_(\$* #,##0.00_);_(\$* \(#,##0.00\);_(\$* &quot;-&quot;??_);_(@_)"/>
    <numFmt numFmtId="167" formatCode="#,##0.0000"/>
    <numFmt numFmtId="168" formatCode="_(&quot;$&quot;* #,##0.0_);_(&quot;$&quot;* \(#,##0.0\);_(&quot;$&quot;* &quot;-&quot;??_);_(@_)"/>
    <numFmt numFmtId="169" formatCode="_(\$* #,##0.0_);_(\$* \(#,##0.0\);_(\$* &quot;-&quot;??_);_(@_)"/>
    <numFmt numFmtId="170" formatCode="_(\$* #,##0_);_(\$* \(#,##0\);_(\$* &quot;-&quot;??_);_(@_)"/>
    <numFmt numFmtId="171" formatCode="#,##0.0"/>
    <numFmt numFmtId="172" formatCode="0.000"/>
    <numFmt numFmtId="173" formatCode="0.0"/>
    <numFmt numFmtId="174" formatCode="0.0000"/>
    <numFmt numFmtId="175" formatCode="_-* #,##0.0_-;\-* #,##0.0_-;_-* &quot;-&quot;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474747"/>
      <name val="Arial"/>
      <family val="2"/>
    </font>
    <font>
      <b/>
      <sz val="24"/>
      <color rgb="FF333333"/>
      <name val="Arial"/>
      <family val="2"/>
    </font>
    <font>
      <sz val="11"/>
      <color rgb="FF333333"/>
      <name val="Arial"/>
      <family val="2"/>
    </font>
    <font>
      <sz val="11"/>
      <color theme="5" tint="0.59999389629810485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6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42F0EC"/>
        <bgColor indexed="64"/>
      </patternFill>
    </fill>
    <fill>
      <patternFill patternType="solid">
        <fgColor rgb="FF99FF99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10">
    <xf numFmtId="0" fontId="0" fillId="0" borderId="0" xfId="0"/>
    <xf numFmtId="0" fontId="2" fillId="0" borderId="3" xfId="0" applyFont="1" applyBorder="1" applyAlignment="1">
      <alignment horizontal="left" vertical="center"/>
    </xf>
    <xf numFmtId="0" fontId="0" fillId="0" borderId="4" xfId="0" applyBorder="1" applyAlignment="1">
      <alignment wrapText="1"/>
    </xf>
    <xf numFmtId="0" fontId="0" fillId="0" borderId="4" xfId="0" applyBorder="1"/>
    <xf numFmtId="165" fontId="0" fillId="0" borderId="4" xfId="0" applyNumberFormat="1" applyBorder="1"/>
    <xf numFmtId="0" fontId="2" fillId="0" borderId="5" xfId="0" applyFont="1" applyBorder="1" applyAlignment="1">
      <alignment horizontal="center" vertical="center"/>
    </xf>
    <xf numFmtId="0" fontId="0" fillId="0" borderId="1" xfId="0" applyBorder="1"/>
    <xf numFmtId="0" fontId="0" fillId="0" borderId="6" xfId="0" applyBorder="1"/>
    <xf numFmtId="0" fontId="2" fillId="0" borderId="7" xfId="0" applyFont="1" applyBorder="1" applyAlignment="1">
      <alignment horizontal="left" vertical="center"/>
    </xf>
    <xf numFmtId="49" fontId="0" fillId="0" borderId="8" xfId="0" applyNumberFormat="1" applyBorder="1" applyAlignment="1">
      <alignment horizontal="left" vertical="center" wrapText="1"/>
    </xf>
    <xf numFmtId="0" fontId="0" fillId="0" borderId="8" xfId="0" applyBorder="1"/>
    <xf numFmtId="165" fontId="0" fillId="0" borderId="8" xfId="0" applyNumberFormat="1" applyBorder="1"/>
    <xf numFmtId="0" fontId="0" fillId="0" borderId="9" xfId="0" applyBorder="1"/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165" fontId="2" fillId="0" borderId="4" xfId="0" applyNumberFormat="1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22" xfId="0" applyBorder="1" applyAlignment="1">
      <alignment horizontal="left" vertical="center" wrapText="1"/>
    </xf>
    <xf numFmtId="0" fontId="0" fillId="0" borderId="22" xfId="0" applyBorder="1" applyAlignment="1">
      <alignment horizontal="center" vertical="center"/>
    </xf>
    <xf numFmtId="165" fontId="0" fillId="0" borderId="22" xfId="0" applyNumberFormat="1" applyBorder="1" applyAlignment="1">
      <alignment horizontal="right" vertical="center"/>
    </xf>
    <xf numFmtId="166" fontId="0" fillId="0" borderId="22" xfId="0" applyNumberFormat="1" applyBorder="1" applyAlignment="1">
      <alignment horizontal="right" vertical="center"/>
    </xf>
    <xf numFmtId="166" fontId="0" fillId="0" borderId="23" xfId="0" applyNumberFormat="1" applyBorder="1" applyAlignment="1">
      <alignment horizontal="right" vertical="center"/>
    </xf>
    <xf numFmtId="49" fontId="0" fillId="0" borderId="10" xfId="0" applyNumberFormat="1" applyBorder="1" applyAlignment="1">
      <alignment horizontal="left" vertical="center"/>
    </xf>
    <xf numFmtId="49" fontId="0" fillId="0" borderId="11" xfId="0" applyNumberFormat="1" applyBorder="1" applyAlignment="1">
      <alignment horizontal="left" vertical="center" wrapText="1"/>
    </xf>
    <xf numFmtId="49" fontId="0" fillId="0" borderId="11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right" vertical="center"/>
    </xf>
    <xf numFmtId="166" fontId="0" fillId="0" borderId="11" xfId="0" applyNumberFormat="1" applyBorder="1" applyAlignment="1">
      <alignment horizontal="right" vertical="center"/>
    </xf>
    <xf numFmtId="166" fontId="0" fillId="0" borderId="12" xfId="0" applyNumberFormat="1" applyBorder="1" applyAlignment="1">
      <alignment horizontal="right" vertical="center"/>
    </xf>
    <xf numFmtId="166" fontId="0" fillId="0" borderId="29" xfId="0" applyNumberFormat="1" applyBorder="1" applyAlignment="1">
      <alignment horizontal="right" vertical="center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 wrapText="1"/>
    </xf>
    <xf numFmtId="0" fontId="0" fillId="0" borderId="11" xfId="0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165" fontId="2" fillId="0" borderId="25" xfId="0" applyNumberFormat="1" applyFont="1" applyBorder="1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0" xfId="0" applyBorder="1"/>
    <xf numFmtId="165" fontId="0" fillId="0" borderId="0" xfId="0" applyNumberFormat="1" applyBorder="1"/>
    <xf numFmtId="0" fontId="2" fillId="0" borderId="0" xfId="0" applyFont="1" applyBorder="1" applyAlignment="1">
      <alignment horizontal="left" vertical="center"/>
    </xf>
    <xf numFmtId="0" fontId="2" fillId="0" borderId="2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/>
    </xf>
    <xf numFmtId="0" fontId="2" fillId="0" borderId="18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/>
    </xf>
    <xf numFmtId="165" fontId="2" fillId="0" borderId="18" xfId="0" applyNumberFormat="1" applyFont="1" applyBorder="1" applyAlignment="1">
      <alignment horizontal="left" vertical="center"/>
    </xf>
    <xf numFmtId="0" fontId="2" fillId="0" borderId="31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49" fontId="0" fillId="0" borderId="0" xfId="0" applyNumberForma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165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 wrapText="1"/>
    </xf>
    <xf numFmtId="165" fontId="2" fillId="0" borderId="0" xfId="0" applyNumberFormat="1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165" fontId="0" fillId="0" borderId="0" xfId="0" applyNumberFormat="1" applyBorder="1" applyAlignment="1">
      <alignment horizontal="right" vertical="center"/>
    </xf>
    <xf numFmtId="166" fontId="0" fillId="0" borderId="0" xfId="0" applyNumberFormat="1" applyBorder="1" applyAlignment="1">
      <alignment horizontal="right" vertical="center"/>
    </xf>
    <xf numFmtId="49" fontId="0" fillId="0" borderId="0" xfId="0" applyNumberFormat="1" applyBorder="1" applyAlignment="1">
      <alignment horizontal="left" vertical="center"/>
    </xf>
    <xf numFmtId="49" fontId="0" fillId="0" borderId="0" xfId="0" applyNumberFormat="1" applyBorder="1" applyAlignment="1">
      <alignment horizontal="center" vertical="center"/>
    </xf>
    <xf numFmtId="166" fontId="2" fillId="0" borderId="0" xfId="0" applyNumberFormat="1" applyFont="1" applyBorder="1" applyAlignment="1">
      <alignment horizontal="right" vertical="center"/>
    </xf>
    <xf numFmtId="0" fontId="0" fillId="0" borderId="3" xfId="0" applyBorder="1"/>
    <xf numFmtId="0" fontId="2" fillId="0" borderId="38" xfId="0" applyFont="1" applyBorder="1" applyAlignment="1">
      <alignment horizontal="left" vertical="center" wrapText="1"/>
    </xf>
    <xf numFmtId="0" fontId="0" fillId="0" borderId="24" xfId="0" applyBorder="1"/>
    <xf numFmtId="165" fontId="0" fillId="0" borderId="25" xfId="0" applyNumberFormat="1" applyBorder="1"/>
    <xf numFmtId="0" fontId="0" fillId="0" borderId="20" xfId="0" applyBorder="1"/>
    <xf numFmtId="165" fontId="0" fillId="0" borderId="0" xfId="0" applyNumberFormat="1" applyBorder="1" applyAlignment="1">
      <alignment horizontal="center" vertical="center"/>
    </xf>
    <xf numFmtId="0" fontId="2" fillId="0" borderId="24" xfId="0" applyFont="1" applyBorder="1" applyAlignment="1">
      <alignment horizontal="center" vertical="center" wrapText="1"/>
    </xf>
    <xf numFmtId="0" fontId="2" fillId="0" borderId="7" xfId="0" applyFont="1" applyBorder="1"/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Border="1" applyAlignment="1">
      <alignment horizontal="center" vertical="center" wrapText="1"/>
    </xf>
    <xf numFmtId="4" fontId="0" fillId="0" borderId="0" xfId="0" applyNumberFormat="1" applyBorder="1" applyAlignment="1">
      <alignment horizontal="right" vertical="center"/>
    </xf>
    <xf numFmtId="166" fontId="0" fillId="0" borderId="39" xfId="0" applyNumberFormat="1" applyBorder="1" applyAlignment="1">
      <alignment horizontal="right" vertical="center"/>
    </xf>
    <xf numFmtId="49" fontId="0" fillId="0" borderId="37" xfId="0" applyNumberFormat="1" applyBorder="1" applyAlignment="1">
      <alignment horizontal="left" vertical="center"/>
    </xf>
    <xf numFmtId="49" fontId="0" fillId="0" borderId="32" xfId="0" applyNumberFormat="1" applyBorder="1" applyAlignment="1">
      <alignment horizontal="left" vertical="center" wrapText="1"/>
    </xf>
    <xf numFmtId="49" fontId="0" fillId="0" borderId="32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right" vertical="center"/>
    </xf>
    <xf numFmtId="166" fontId="0" fillId="0" borderId="32" xfId="0" applyNumberFormat="1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165" fontId="0" fillId="0" borderId="2" xfId="0" applyNumberFormat="1" applyBorder="1" applyAlignment="1">
      <alignment horizontal="right" vertical="center"/>
    </xf>
    <xf numFmtId="166" fontId="0" fillId="0" borderId="2" xfId="0" applyNumberFormat="1" applyBorder="1" applyAlignment="1">
      <alignment horizontal="right" vertical="center"/>
    </xf>
    <xf numFmtId="49" fontId="0" fillId="0" borderId="2" xfId="0" applyNumberFormat="1" applyBorder="1" applyAlignment="1">
      <alignment horizontal="left" vertical="center" wrapText="1"/>
    </xf>
    <xf numFmtId="49" fontId="0" fillId="0" borderId="2" xfId="0" applyNumberFormat="1" applyBorder="1" applyAlignment="1">
      <alignment horizontal="center" vertical="center"/>
    </xf>
    <xf numFmtId="0" fontId="0" fillId="0" borderId="27" xfId="0" applyBorder="1" applyAlignment="1">
      <alignment horizontal="left" vertical="center" wrapText="1"/>
    </xf>
    <xf numFmtId="0" fontId="0" fillId="0" borderId="27" xfId="0" applyBorder="1" applyAlignment="1">
      <alignment horizontal="center" vertical="center"/>
    </xf>
    <xf numFmtId="165" fontId="0" fillId="0" borderId="27" xfId="0" applyNumberFormat="1" applyBorder="1" applyAlignment="1">
      <alignment horizontal="right" vertical="center"/>
    </xf>
    <xf numFmtId="166" fontId="0" fillId="0" borderId="27" xfId="0" applyNumberFormat="1" applyBorder="1" applyAlignment="1">
      <alignment horizontal="right" vertical="center"/>
    </xf>
    <xf numFmtId="0" fontId="0" fillId="0" borderId="13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49" fontId="0" fillId="0" borderId="27" xfId="0" applyNumberFormat="1" applyBorder="1" applyAlignment="1">
      <alignment horizontal="left" vertical="center" wrapText="1"/>
    </xf>
    <xf numFmtId="49" fontId="0" fillId="0" borderId="27" xfId="0" applyNumberFormat="1" applyBorder="1" applyAlignment="1">
      <alignment horizontal="center" vertical="center"/>
    </xf>
    <xf numFmtId="49" fontId="0" fillId="0" borderId="21" xfId="0" applyNumberFormat="1" applyBorder="1" applyAlignment="1">
      <alignment horizontal="left" vertical="center"/>
    </xf>
    <xf numFmtId="49" fontId="0" fillId="0" borderId="22" xfId="0" applyNumberFormat="1" applyBorder="1" applyAlignment="1">
      <alignment horizontal="left" vertical="center" wrapText="1"/>
    </xf>
    <xf numFmtId="49" fontId="0" fillId="0" borderId="22" xfId="0" applyNumberFormat="1" applyBorder="1" applyAlignment="1">
      <alignment horizontal="center" vertical="center"/>
    </xf>
    <xf numFmtId="0" fontId="0" fillId="0" borderId="8" xfId="0" applyBorder="1" applyAlignment="1">
      <alignment wrapText="1"/>
    </xf>
    <xf numFmtId="0" fontId="0" fillId="0" borderId="9" xfId="0" applyBorder="1" applyAlignment="1">
      <alignment horizontal="center"/>
    </xf>
    <xf numFmtId="4" fontId="0" fillId="0" borderId="2" xfId="0" applyNumberFormat="1" applyBorder="1" applyAlignment="1">
      <alignment horizontal="right" vertical="center"/>
    </xf>
    <xf numFmtId="4" fontId="0" fillId="0" borderId="22" xfId="0" applyNumberFormat="1" applyBorder="1" applyAlignment="1">
      <alignment horizontal="right" vertical="center"/>
    </xf>
    <xf numFmtId="4" fontId="0" fillId="0" borderId="11" xfId="0" applyNumberFormat="1" applyBorder="1" applyAlignment="1">
      <alignment horizontal="right" vertical="center"/>
    </xf>
    <xf numFmtId="0" fontId="2" fillId="0" borderId="21" xfId="0" applyFont="1" applyBorder="1" applyAlignment="1">
      <alignment horizontal="left" vertical="center"/>
    </xf>
    <xf numFmtId="0" fontId="2" fillId="0" borderId="22" xfId="0" applyFont="1" applyBorder="1" applyAlignment="1">
      <alignment horizontal="left" vertical="center" wrapText="1"/>
    </xf>
    <xf numFmtId="0" fontId="2" fillId="0" borderId="22" xfId="0" applyFont="1" applyBorder="1" applyAlignment="1">
      <alignment horizontal="left" vertical="center"/>
    </xf>
    <xf numFmtId="165" fontId="2" fillId="0" borderId="22" xfId="0" applyNumberFormat="1" applyFont="1" applyBorder="1" applyAlignment="1">
      <alignment horizontal="left" vertical="center"/>
    </xf>
    <xf numFmtId="0" fontId="2" fillId="0" borderId="23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0" fillId="0" borderId="22" xfId="0" applyFont="1" applyBorder="1" applyAlignment="1">
      <alignment horizontal="left" vertical="center" wrapText="1"/>
    </xf>
    <xf numFmtId="0" fontId="0" fillId="0" borderId="22" xfId="0" applyFont="1" applyBorder="1" applyAlignment="1">
      <alignment horizontal="center" vertical="center"/>
    </xf>
    <xf numFmtId="0" fontId="0" fillId="0" borderId="2" xfId="0" applyFont="1" applyBorder="1" applyAlignment="1">
      <alignment horizontal="left" vertical="center" wrapText="1"/>
    </xf>
    <xf numFmtId="165" fontId="0" fillId="0" borderId="22" xfId="0" applyNumberFormat="1" applyFont="1" applyBorder="1" applyAlignment="1">
      <alignment horizontal="right" vertical="center"/>
    </xf>
    <xf numFmtId="0" fontId="0" fillId="0" borderId="22" xfId="0" applyFont="1" applyBorder="1" applyAlignment="1">
      <alignment horizontal="right" vertical="center"/>
    </xf>
    <xf numFmtId="0" fontId="0" fillId="0" borderId="2" xfId="0" applyFont="1" applyBorder="1" applyAlignment="1">
      <alignment horizontal="center" vertical="center"/>
    </xf>
    <xf numFmtId="165" fontId="0" fillId="0" borderId="2" xfId="0" applyNumberFormat="1" applyFont="1" applyBorder="1" applyAlignment="1">
      <alignment horizontal="right" vertical="center"/>
    </xf>
    <xf numFmtId="167" fontId="0" fillId="0" borderId="0" xfId="0" applyNumberFormat="1" applyBorder="1" applyAlignment="1">
      <alignment horizontal="right" vertical="center"/>
    </xf>
    <xf numFmtId="49" fontId="0" fillId="0" borderId="0" xfId="0" applyNumberFormat="1" applyFill="1" applyBorder="1" applyAlignment="1">
      <alignment horizontal="left" vertical="center" wrapText="1"/>
    </xf>
    <xf numFmtId="0" fontId="0" fillId="0" borderId="0" xfId="0" applyFill="1" applyBorder="1" applyAlignment="1">
      <alignment wrapText="1"/>
    </xf>
    <xf numFmtId="166" fontId="0" fillId="0" borderId="0" xfId="0" applyNumberFormat="1" applyBorder="1"/>
    <xf numFmtId="164" fontId="0" fillId="0" borderId="0" xfId="2" applyFont="1" applyBorder="1"/>
    <xf numFmtId="166" fontId="0" fillId="0" borderId="14" xfId="0" applyNumberFormat="1" applyFont="1" applyBorder="1" applyAlignment="1">
      <alignment horizontal="right" vertical="center"/>
    </xf>
    <xf numFmtId="0" fontId="2" fillId="0" borderId="26" xfId="0" applyFont="1" applyBorder="1" applyAlignment="1">
      <alignment horizontal="left" vertical="center"/>
    </xf>
    <xf numFmtId="165" fontId="0" fillId="0" borderId="27" xfId="0" applyNumberFormat="1" applyFont="1" applyBorder="1" applyAlignment="1">
      <alignment horizontal="right" vertical="center"/>
    </xf>
    <xf numFmtId="166" fontId="0" fillId="0" borderId="28" xfId="0" applyNumberFormat="1" applyFont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0" xfId="0" applyFill="1"/>
    <xf numFmtId="0" fontId="0" fillId="0" borderId="0" xfId="0" applyFill="1" applyBorder="1"/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 wrapText="1"/>
    </xf>
    <xf numFmtId="4" fontId="0" fillId="0" borderId="0" xfId="0" applyNumberFormat="1" applyFill="1" applyBorder="1" applyAlignment="1">
      <alignment horizontal="right" vertical="center"/>
    </xf>
    <xf numFmtId="166" fontId="0" fillId="0" borderId="0" xfId="0" applyNumberFormat="1" applyFill="1" applyBorder="1" applyAlignment="1">
      <alignment horizontal="right" vertical="center"/>
    </xf>
    <xf numFmtId="49" fontId="0" fillId="0" borderId="0" xfId="0" applyNumberFormat="1" applyFill="1" applyBorder="1" applyAlignment="1">
      <alignment horizontal="left" vertical="center"/>
    </xf>
    <xf numFmtId="49" fontId="0" fillId="0" borderId="0" xfId="0" applyNumberFormat="1" applyFill="1" applyBorder="1" applyAlignment="1">
      <alignment horizontal="center" vertical="center"/>
    </xf>
    <xf numFmtId="0" fontId="0" fillId="0" borderId="11" xfId="0" applyFont="1" applyBorder="1" applyAlignment="1">
      <alignment horizontal="left" vertical="center" wrapText="1"/>
    </xf>
    <xf numFmtId="0" fontId="0" fillId="0" borderId="11" xfId="0" applyFont="1" applyBorder="1" applyAlignment="1">
      <alignment horizontal="center" vertical="center"/>
    </xf>
    <xf numFmtId="165" fontId="0" fillId="0" borderId="11" xfId="0" applyNumberFormat="1" applyFont="1" applyBorder="1" applyAlignment="1">
      <alignment horizontal="right" vertical="center"/>
    </xf>
    <xf numFmtId="0" fontId="0" fillId="0" borderId="36" xfId="0" applyBorder="1" applyAlignment="1">
      <alignment horizontal="left" vertical="center"/>
    </xf>
    <xf numFmtId="49" fontId="0" fillId="0" borderId="34" xfId="0" applyNumberFormat="1" applyBorder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166" fontId="0" fillId="0" borderId="9" xfId="0" applyNumberFormat="1" applyBorder="1" applyAlignment="1">
      <alignment horizontal="right" vertical="center"/>
    </xf>
    <xf numFmtId="0" fontId="0" fillId="0" borderId="9" xfId="0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165" fontId="0" fillId="0" borderId="34" xfId="0" applyNumberFormat="1" applyBorder="1" applyAlignment="1">
      <alignment horizontal="right" vertical="center"/>
    </xf>
    <xf numFmtId="49" fontId="0" fillId="0" borderId="41" xfId="0" applyNumberFormat="1" applyBorder="1" applyAlignment="1">
      <alignment horizontal="center" vertical="center"/>
    </xf>
    <xf numFmtId="0" fontId="0" fillId="0" borderId="2" xfId="0" applyBorder="1"/>
    <xf numFmtId="49" fontId="0" fillId="0" borderId="16" xfId="0" applyNumberFormat="1" applyBorder="1" applyAlignment="1">
      <alignment horizontal="center" vertical="center"/>
    </xf>
    <xf numFmtId="0" fontId="0" fillId="0" borderId="16" xfId="0" applyBorder="1"/>
    <xf numFmtId="4" fontId="0" fillId="0" borderId="16" xfId="0" applyNumberFormat="1" applyBorder="1" applyAlignment="1">
      <alignment horizontal="right" vertical="center"/>
    </xf>
    <xf numFmtId="0" fontId="0" fillId="0" borderId="22" xfId="0" applyBorder="1"/>
    <xf numFmtId="0" fontId="0" fillId="0" borderId="7" xfId="0" applyBorder="1"/>
    <xf numFmtId="49" fontId="0" fillId="0" borderId="8" xfId="0" applyNumberFormat="1" applyBorder="1" applyAlignment="1">
      <alignment horizontal="center" vertical="center"/>
    </xf>
    <xf numFmtId="49" fontId="0" fillId="0" borderId="42" xfId="0" applyNumberFormat="1" applyBorder="1" applyAlignment="1">
      <alignment horizontal="left" vertical="center" wrapText="1"/>
    </xf>
    <xf numFmtId="49" fontId="0" fillId="0" borderId="43" xfId="0" applyNumberFormat="1" applyBorder="1" applyAlignment="1">
      <alignment horizontal="left" vertical="center" wrapText="1"/>
    </xf>
    <xf numFmtId="49" fontId="0" fillId="0" borderId="44" xfId="0" applyNumberFormat="1" applyBorder="1" applyAlignment="1">
      <alignment horizontal="left" vertical="center" wrapText="1"/>
    </xf>
    <xf numFmtId="166" fontId="0" fillId="0" borderId="31" xfId="0" applyNumberFormat="1" applyBorder="1" applyAlignment="1">
      <alignment horizontal="right" vertical="center"/>
    </xf>
    <xf numFmtId="0" fontId="0" fillId="0" borderId="15" xfId="0" applyBorder="1" applyAlignment="1">
      <alignment horizontal="left" vertical="center"/>
    </xf>
    <xf numFmtId="49" fontId="0" fillId="0" borderId="45" xfId="0" applyNumberFormat="1" applyBorder="1" applyAlignment="1">
      <alignment horizontal="left" vertical="center" wrapText="1"/>
    </xf>
    <xf numFmtId="49" fontId="0" fillId="0" borderId="46" xfId="0" applyNumberFormat="1" applyBorder="1" applyAlignment="1">
      <alignment horizontal="center" vertical="center"/>
    </xf>
    <xf numFmtId="4" fontId="0" fillId="0" borderId="47" xfId="0" applyNumberFormat="1" applyBorder="1" applyAlignment="1">
      <alignment horizontal="right" vertical="center"/>
    </xf>
    <xf numFmtId="0" fontId="0" fillId="0" borderId="48" xfId="0" applyBorder="1" applyAlignment="1">
      <alignment horizontal="left" vertical="center"/>
    </xf>
    <xf numFmtId="49" fontId="0" fillId="0" borderId="50" xfId="0" applyNumberFormat="1" applyBorder="1" applyAlignment="1">
      <alignment horizontal="left" vertical="center" wrapText="1"/>
    </xf>
    <xf numFmtId="49" fontId="0" fillId="0" borderId="51" xfId="0" applyNumberFormat="1" applyBorder="1" applyAlignment="1">
      <alignment horizontal="center" vertical="center"/>
    </xf>
    <xf numFmtId="4" fontId="0" fillId="0" borderId="52" xfId="0" applyNumberFormat="1" applyBorder="1" applyAlignment="1">
      <alignment horizontal="right" vertical="center"/>
    </xf>
    <xf numFmtId="166" fontId="0" fillId="0" borderId="0" xfId="0" applyNumberFormat="1" applyFill="1" applyBorder="1"/>
    <xf numFmtId="49" fontId="0" fillId="0" borderId="53" xfId="0" applyNumberFormat="1" applyBorder="1" applyAlignment="1">
      <alignment horizontal="left" vertical="center" wrapText="1"/>
    </xf>
    <xf numFmtId="49" fontId="0" fillId="0" borderId="34" xfId="0" applyNumberFormat="1" applyBorder="1" applyAlignment="1">
      <alignment horizontal="right" vertical="center"/>
    </xf>
    <xf numFmtId="4" fontId="0" fillId="0" borderId="54" xfId="0" applyNumberFormat="1" applyBorder="1" applyAlignment="1">
      <alignment horizontal="right" vertical="center"/>
    </xf>
    <xf numFmtId="0" fontId="0" fillId="0" borderId="0" xfId="0" applyAlignment="1">
      <alignment horizontal="right"/>
    </xf>
    <xf numFmtId="0" fontId="2" fillId="0" borderId="0" xfId="0" applyFont="1" applyBorder="1"/>
    <xf numFmtId="0" fontId="0" fillId="0" borderId="0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center" vertical="center"/>
    </xf>
    <xf numFmtId="165" fontId="0" fillId="0" borderId="0" xfId="0" applyNumberFormat="1" applyFont="1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0" fontId="0" fillId="0" borderId="34" xfId="0" applyBorder="1"/>
    <xf numFmtId="169" fontId="0" fillId="0" borderId="2" xfId="0" applyNumberFormat="1" applyBorder="1" applyAlignment="1">
      <alignment horizontal="right" vertical="center"/>
    </xf>
    <xf numFmtId="169" fontId="0" fillId="0" borderId="11" xfId="0" applyNumberFormat="1" applyBorder="1" applyAlignment="1">
      <alignment horizontal="right" vertical="center"/>
    </xf>
    <xf numFmtId="169" fontId="0" fillId="0" borderId="27" xfId="0" applyNumberFormat="1" applyBorder="1" applyAlignment="1">
      <alignment horizontal="right" vertical="center"/>
    </xf>
    <xf numFmtId="169" fontId="0" fillId="0" borderId="22" xfId="0" applyNumberFormat="1" applyBorder="1" applyAlignment="1">
      <alignment horizontal="right" vertical="center"/>
    </xf>
    <xf numFmtId="169" fontId="0" fillId="0" borderId="23" xfId="0" applyNumberFormat="1" applyBorder="1" applyAlignment="1">
      <alignment horizontal="right" vertical="center"/>
    </xf>
    <xf numFmtId="169" fontId="0" fillId="0" borderId="14" xfId="0" applyNumberFormat="1" applyBorder="1" applyAlignment="1">
      <alignment horizontal="right" vertical="center"/>
    </xf>
    <xf numFmtId="169" fontId="0" fillId="0" borderId="12" xfId="0" applyNumberFormat="1" applyBorder="1" applyAlignment="1">
      <alignment horizontal="right" vertical="center"/>
    </xf>
    <xf numFmtId="169" fontId="0" fillId="0" borderId="29" xfId="0" applyNumberFormat="1" applyBorder="1" applyAlignment="1">
      <alignment horizontal="right" vertical="center"/>
    </xf>
    <xf numFmtId="169" fontId="0" fillId="0" borderId="28" xfId="0" applyNumberFormat="1" applyBorder="1" applyAlignment="1">
      <alignment horizontal="right" vertical="center"/>
    </xf>
    <xf numFmtId="169" fontId="0" fillId="0" borderId="39" xfId="0" applyNumberFormat="1" applyBorder="1" applyAlignment="1">
      <alignment horizontal="right" vertical="center"/>
    </xf>
    <xf numFmtId="169" fontId="0" fillId="0" borderId="30" xfId="0" applyNumberFormat="1" applyBorder="1" applyAlignment="1">
      <alignment horizontal="right" vertical="center"/>
    </xf>
    <xf numFmtId="170" fontId="0" fillId="0" borderId="22" xfId="0" applyNumberFormat="1" applyBorder="1" applyAlignment="1">
      <alignment horizontal="right" vertical="center"/>
    </xf>
    <xf numFmtId="169" fontId="0" fillId="0" borderId="32" xfId="0" applyNumberFormat="1" applyBorder="1" applyAlignment="1">
      <alignment horizontal="right" vertical="center"/>
    </xf>
    <xf numFmtId="169" fontId="0" fillId="0" borderId="33" xfId="0" applyNumberFormat="1" applyBorder="1" applyAlignment="1">
      <alignment horizontal="right" vertical="center"/>
    </xf>
    <xf numFmtId="169" fontId="2" fillId="0" borderId="23" xfId="0" applyNumberFormat="1" applyFont="1" applyBorder="1" applyAlignment="1">
      <alignment horizontal="left" vertical="center"/>
    </xf>
    <xf numFmtId="171" fontId="0" fillId="0" borderId="2" xfId="0" applyNumberFormat="1" applyBorder="1" applyAlignment="1">
      <alignment horizontal="right" vertical="center"/>
    </xf>
    <xf numFmtId="169" fontId="0" fillId="0" borderId="14" xfId="0" applyNumberFormat="1" applyFont="1" applyBorder="1" applyAlignment="1">
      <alignment horizontal="right" vertical="center"/>
    </xf>
    <xf numFmtId="169" fontId="0" fillId="0" borderId="22" xfId="0" applyNumberFormat="1" applyFill="1" applyBorder="1" applyAlignment="1">
      <alignment horizontal="right" vertical="center"/>
    </xf>
    <xf numFmtId="169" fontId="0" fillId="0" borderId="34" xfId="0" applyNumberFormat="1" applyBorder="1" applyAlignment="1">
      <alignment horizontal="right" vertical="center"/>
    </xf>
    <xf numFmtId="169" fontId="2" fillId="0" borderId="4" xfId="0" applyNumberFormat="1" applyFont="1" applyBorder="1" applyAlignment="1">
      <alignment horizontal="left" vertical="center"/>
    </xf>
    <xf numFmtId="169" fontId="0" fillId="0" borderId="27" xfId="0" applyNumberFormat="1" applyFill="1" applyBorder="1" applyAlignment="1">
      <alignment horizontal="right" vertical="center"/>
    </xf>
    <xf numFmtId="169" fontId="2" fillId="0" borderId="0" xfId="0" applyNumberFormat="1" applyFont="1" applyBorder="1" applyAlignment="1">
      <alignment horizontal="left" vertical="center"/>
    </xf>
    <xf numFmtId="171" fontId="0" fillId="0" borderId="22" xfId="0" applyNumberFormat="1" applyBorder="1" applyAlignment="1">
      <alignment horizontal="right" vertical="center"/>
    </xf>
    <xf numFmtId="171" fontId="0" fillId="0" borderId="23" xfId="0" applyNumberFormat="1" applyBorder="1" applyAlignment="1">
      <alignment horizontal="right" vertical="center"/>
    </xf>
    <xf numFmtId="171" fontId="0" fillId="0" borderId="28" xfId="0" applyNumberFormat="1" applyBorder="1" applyAlignment="1">
      <alignment horizontal="right" vertical="center"/>
    </xf>
    <xf numFmtId="171" fontId="0" fillId="0" borderId="16" xfId="0" applyNumberFormat="1" applyBorder="1" applyAlignment="1">
      <alignment horizontal="right" vertical="center"/>
    </xf>
    <xf numFmtId="171" fontId="0" fillId="0" borderId="14" xfId="0" applyNumberFormat="1" applyBorder="1" applyAlignment="1">
      <alignment horizontal="right" vertical="center"/>
    </xf>
    <xf numFmtId="171" fontId="0" fillId="0" borderId="41" xfId="0" applyNumberFormat="1" applyBorder="1" applyAlignment="1">
      <alignment horizontal="right" vertical="center"/>
    </xf>
    <xf numFmtId="171" fontId="0" fillId="0" borderId="47" xfId="0" applyNumberFormat="1" applyBorder="1" applyAlignment="1">
      <alignment horizontal="right" vertical="center"/>
    </xf>
    <xf numFmtId="171" fontId="0" fillId="0" borderId="12" xfId="0" applyNumberFormat="1" applyBorder="1" applyAlignment="1">
      <alignment horizontal="right" vertical="center"/>
    </xf>
    <xf numFmtId="169" fontId="0" fillId="0" borderId="28" xfId="0" applyNumberFormat="1" applyFont="1" applyBorder="1" applyAlignment="1">
      <alignment horizontal="right" vertical="center"/>
    </xf>
    <xf numFmtId="169" fontId="0" fillId="0" borderId="49" xfId="0" applyNumberFormat="1" applyBorder="1" applyAlignment="1">
      <alignment horizontal="right" vertical="center"/>
    </xf>
    <xf numFmtId="169" fontId="0" fillId="0" borderId="9" xfId="0" applyNumberFormat="1" applyBorder="1" applyAlignment="1">
      <alignment horizontal="right" vertical="center"/>
    </xf>
    <xf numFmtId="171" fontId="0" fillId="0" borderId="52" xfId="0" applyNumberFormat="1" applyBorder="1" applyAlignment="1">
      <alignment horizontal="right" vertical="center"/>
    </xf>
    <xf numFmtId="169" fontId="0" fillId="0" borderId="28" xfId="0" applyNumberFormat="1" applyFill="1" applyBorder="1" applyAlignment="1">
      <alignment horizontal="right" vertical="center"/>
    </xf>
    <xf numFmtId="171" fontId="0" fillId="0" borderId="28" xfId="0" applyNumberFormat="1" applyFill="1" applyBorder="1" applyAlignment="1">
      <alignment horizontal="right" vertical="center"/>
    </xf>
    <xf numFmtId="169" fontId="0" fillId="0" borderId="23" xfId="0" applyNumberFormat="1" applyFill="1" applyBorder="1" applyAlignment="1">
      <alignment horizontal="right" vertical="center"/>
    </xf>
    <xf numFmtId="169" fontId="0" fillId="0" borderId="40" xfId="0" applyNumberFormat="1" applyBorder="1" applyAlignment="1">
      <alignment horizontal="right" vertical="center"/>
    </xf>
    <xf numFmtId="169" fontId="0" fillId="0" borderId="22" xfId="0" applyNumberFormat="1" applyBorder="1" applyAlignment="1">
      <alignment vertical="center"/>
    </xf>
    <xf numFmtId="49" fontId="0" fillId="0" borderId="2" xfId="0" applyNumberFormat="1" applyBorder="1" applyAlignment="1">
      <alignment horizontal="right" vertical="center"/>
    </xf>
    <xf numFmtId="170" fontId="0" fillId="0" borderId="23" xfId="0" applyNumberFormat="1" applyFill="1" applyBorder="1" applyAlignment="1">
      <alignment horizontal="right" vertical="center"/>
    </xf>
    <xf numFmtId="170" fontId="0" fillId="0" borderId="27" xfId="0" applyNumberFormat="1" applyBorder="1" applyAlignment="1">
      <alignment horizontal="right" vertical="center"/>
    </xf>
    <xf numFmtId="170" fontId="0" fillId="0" borderId="28" xfId="0" applyNumberFormat="1" applyBorder="1" applyAlignment="1">
      <alignment horizontal="right" vertical="center"/>
    </xf>
    <xf numFmtId="170" fontId="0" fillId="0" borderId="32" xfId="0" applyNumberFormat="1" applyBorder="1" applyAlignment="1">
      <alignment horizontal="right" vertical="center"/>
    </xf>
    <xf numFmtId="170" fontId="0" fillId="0" borderId="40" xfId="0" applyNumberFormat="1" applyBorder="1" applyAlignment="1">
      <alignment horizontal="right" vertical="center"/>
    </xf>
    <xf numFmtId="170" fontId="0" fillId="0" borderId="30" xfId="0" applyNumberFormat="1" applyBorder="1" applyAlignment="1">
      <alignment horizontal="right" vertical="center"/>
    </xf>
    <xf numFmtId="171" fontId="0" fillId="0" borderId="34" xfId="0" applyNumberFormat="1" applyBorder="1" applyAlignment="1">
      <alignment horizontal="right" vertical="center"/>
    </xf>
    <xf numFmtId="0" fontId="0" fillId="0" borderId="37" xfId="0" applyBorder="1" applyAlignment="1">
      <alignment horizontal="left" vertical="center"/>
    </xf>
    <xf numFmtId="0" fontId="0" fillId="0" borderId="32" xfId="0" applyBorder="1" applyAlignment="1">
      <alignment horizontal="left" vertical="center" wrapText="1"/>
    </xf>
    <xf numFmtId="0" fontId="0" fillId="0" borderId="32" xfId="0" applyBorder="1" applyAlignment="1">
      <alignment horizontal="center" vertical="center"/>
    </xf>
    <xf numFmtId="0" fontId="5" fillId="0" borderId="0" xfId="0" applyFont="1"/>
    <xf numFmtId="49" fontId="0" fillId="0" borderId="53" xfId="0" applyNumberFormat="1" applyFill="1" applyBorder="1" applyAlignment="1">
      <alignment horizontal="left" vertical="center" wrapText="1"/>
    </xf>
    <xf numFmtId="49" fontId="0" fillId="0" borderId="33" xfId="0" applyNumberForma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4" fontId="0" fillId="0" borderId="27" xfId="0" applyNumberFormat="1" applyBorder="1" applyAlignment="1">
      <alignment horizontal="right" vertical="center"/>
    </xf>
    <xf numFmtId="169" fontId="0" fillId="0" borderId="27" xfId="0" applyNumberFormat="1" applyBorder="1" applyAlignment="1">
      <alignment vertical="center"/>
    </xf>
    <xf numFmtId="0" fontId="0" fillId="0" borderId="27" xfId="0" applyFont="1" applyBorder="1" applyAlignment="1">
      <alignment horizontal="left" vertical="center" wrapText="1"/>
    </xf>
    <xf numFmtId="0" fontId="0" fillId="0" borderId="27" xfId="0" applyFont="1" applyBorder="1" applyAlignment="1">
      <alignment horizontal="center" vertical="center"/>
    </xf>
    <xf numFmtId="169" fontId="0" fillId="0" borderId="11" xfId="0" applyNumberFormat="1" applyFill="1" applyBorder="1" applyAlignment="1">
      <alignment horizontal="right" vertical="center"/>
    </xf>
    <xf numFmtId="49" fontId="0" fillId="0" borderId="2" xfId="0" applyNumberFormat="1" applyFill="1" applyBorder="1" applyAlignment="1">
      <alignment horizontal="left" vertical="center" wrapText="1"/>
    </xf>
    <xf numFmtId="49" fontId="0" fillId="0" borderId="11" xfId="0" applyNumberFormat="1" applyFill="1" applyBorder="1" applyAlignment="1">
      <alignment horizontal="left" vertical="center" wrapText="1"/>
    </xf>
    <xf numFmtId="0" fontId="2" fillId="0" borderId="55" xfId="0" applyFont="1" applyBorder="1" applyAlignment="1">
      <alignment horizontal="left" vertical="center"/>
    </xf>
    <xf numFmtId="169" fontId="0" fillId="0" borderId="0" xfId="0" applyNumberFormat="1" applyBorder="1" applyAlignment="1">
      <alignment horizontal="right" vertical="center"/>
    </xf>
    <xf numFmtId="49" fontId="0" fillId="0" borderId="43" xfId="0" applyNumberFormat="1" applyFill="1" applyBorder="1" applyAlignment="1">
      <alignment horizontal="left" vertical="center" wrapText="1"/>
    </xf>
    <xf numFmtId="172" fontId="0" fillId="0" borderId="22" xfId="0" applyNumberFormat="1" applyBorder="1"/>
    <xf numFmtId="49" fontId="0" fillId="0" borderId="1" xfId="0" applyNumberFormat="1" applyBorder="1" applyAlignment="1">
      <alignment horizontal="left" vertical="center"/>
    </xf>
    <xf numFmtId="169" fontId="0" fillId="0" borderId="12" xfId="0" applyNumberFormat="1" applyFont="1" applyBorder="1" applyAlignment="1">
      <alignment horizontal="right" vertical="center"/>
    </xf>
    <xf numFmtId="0" fontId="2" fillId="0" borderId="35" xfId="0" applyFont="1" applyBorder="1" applyAlignment="1">
      <alignment horizontal="left" vertical="center"/>
    </xf>
    <xf numFmtId="0" fontId="2" fillId="0" borderId="33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/>
    </xf>
    <xf numFmtId="165" fontId="2" fillId="0" borderId="33" xfId="0" applyNumberFormat="1" applyFont="1" applyBorder="1" applyAlignment="1">
      <alignment horizontal="left" vertical="center"/>
    </xf>
    <xf numFmtId="0" fontId="2" fillId="0" borderId="56" xfId="0" applyFont="1" applyBorder="1" applyAlignment="1">
      <alignment horizontal="left" vertical="center"/>
    </xf>
    <xf numFmtId="0" fontId="7" fillId="0" borderId="0" xfId="0" applyFont="1" applyAlignment="1">
      <alignment horizontal="center"/>
    </xf>
    <xf numFmtId="49" fontId="0" fillId="0" borderId="0" xfId="0" applyNumberFormat="1" applyBorder="1" applyAlignment="1">
      <alignment horizontal="right" vertical="center"/>
    </xf>
    <xf numFmtId="166" fontId="0" fillId="0" borderId="28" xfId="0" applyNumberFormat="1" applyFill="1" applyBorder="1" applyAlignment="1">
      <alignment horizontal="right" vertical="center"/>
    </xf>
    <xf numFmtId="0" fontId="0" fillId="0" borderId="0" xfId="0" applyBorder="1" applyAlignment="1">
      <alignment horizontal="left" vertical="center" wrapText="1"/>
    </xf>
    <xf numFmtId="165" fontId="0" fillId="0" borderId="0" xfId="0" applyNumberFormat="1"/>
    <xf numFmtId="0" fontId="2" fillId="0" borderId="0" xfId="0" applyFont="1" applyAlignment="1">
      <alignment horizontal="left" vertical="center"/>
    </xf>
    <xf numFmtId="0" fontId="0" fillId="4" borderId="4" xfId="0" applyFill="1" applyBorder="1"/>
    <xf numFmtId="0" fontId="0" fillId="0" borderId="25" xfId="0" applyBorder="1" applyAlignment="1">
      <alignment horizontal="center" vertical="center"/>
    </xf>
    <xf numFmtId="49" fontId="0" fillId="0" borderId="13" xfId="0" applyNumberFormat="1" applyBorder="1" applyAlignment="1">
      <alignment horizontal="left" vertical="center"/>
    </xf>
    <xf numFmtId="169" fontId="0" fillId="0" borderId="0" xfId="0" applyNumberFormat="1" applyFont="1" applyBorder="1" applyAlignment="1">
      <alignment horizontal="right" vertical="center"/>
    </xf>
    <xf numFmtId="168" fontId="0" fillId="0" borderId="0" xfId="2" applyNumberFormat="1" applyFont="1" applyFill="1" applyBorder="1"/>
    <xf numFmtId="169" fontId="0" fillId="0" borderId="0" xfId="0" applyNumberFormat="1" applyFill="1" applyBorder="1" applyAlignment="1">
      <alignment horizontal="right" vertical="center"/>
    </xf>
    <xf numFmtId="0" fontId="2" fillId="0" borderId="25" xfId="0" applyFont="1" applyBorder="1" applyAlignment="1">
      <alignment horizontal="left" vertical="center" wrapText="1"/>
    </xf>
    <xf numFmtId="0" fontId="0" fillId="4" borderId="4" xfId="0" applyFill="1" applyBorder="1" applyAlignment="1">
      <alignment horizontal="center"/>
    </xf>
    <xf numFmtId="0" fontId="0" fillId="0" borderId="8" xfId="0" applyBorder="1" applyAlignment="1">
      <alignment horizontal="left" wrapText="1"/>
    </xf>
    <xf numFmtId="173" fontId="0" fillId="0" borderId="8" xfId="0" applyNumberFormat="1" applyBorder="1" applyAlignment="1">
      <alignment horizontal="left" vertical="center" wrapText="1"/>
    </xf>
    <xf numFmtId="2" fontId="0" fillId="0" borderId="8" xfId="0" applyNumberFormat="1" applyBorder="1" applyAlignment="1">
      <alignment horizontal="left" vertical="center" wrapText="1"/>
    </xf>
    <xf numFmtId="165" fontId="0" fillId="0" borderId="54" xfId="0" applyNumberFormat="1" applyBorder="1" applyAlignment="1">
      <alignment horizontal="right" vertical="center"/>
    </xf>
    <xf numFmtId="165" fontId="0" fillId="0" borderId="16" xfId="0" applyNumberFormat="1" applyBorder="1"/>
    <xf numFmtId="174" fontId="0" fillId="0" borderId="22" xfId="0" applyNumberFormat="1" applyBorder="1"/>
    <xf numFmtId="174" fontId="0" fillId="0" borderId="34" xfId="0" applyNumberFormat="1" applyBorder="1"/>
    <xf numFmtId="174" fontId="0" fillId="0" borderId="16" xfId="0" applyNumberFormat="1" applyBorder="1"/>
    <xf numFmtId="174" fontId="0" fillId="0" borderId="54" xfId="0" applyNumberFormat="1" applyBorder="1" applyAlignment="1">
      <alignment horizontal="right" vertical="center"/>
    </xf>
    <xf numFmtId="172" fontId="0" fillId="0" borderId="34" xfId="0" applyNumberFormat="1" applyBorder="1"/>
    <xf numFmtId="172" fontId="0" fillId="0" borderId="16" xfId="0" applyNumberFormat="1" applyBorder="1"/>
    <xf numFmtId="172" fontId="0" fillId="0" borderId="54" xfId="0" applyNumberFormat="1" applyBorder="1" applyAlignment="1">
      <alignment horizontal="right" vertical="center"/>
    </xf>
    <xf numFmtId="172" fontId="0" fillId="0" borderId="2" xfId="0" applyNumberFormat="1" applyBorder="1" applyAlignment="1">
      <alignment horizontal="right" vertical="center"/>
    </xf>
    <xf numFmtId="172" fontId="0" fillId="0" borderId="2" xfId="0" applyNumberFormat="1" applyBorder="1"/>
    <xf numFmtId="165" fontId="0" fillId="0" borderId="52" xfId="0" applyNumberFormat="1" applyBorder="1" applyAlignment="1">
      <alignment horizontal="right" vertical="center"/>
    </xf>
    <xf numFmtId="172" fontId="0" fillId="0" borderId="41" xfId="0" applyNumberFormat="1" applyBorder="1"/>
    <xf numFmtId="172" fontId="0" fillId="0" borderId="46" xfId="0" applyNumberFormat="1" applyBorder="1"/>
    <xf numFmtId="172" fontId="0" fillId="0" borderId="11" xfId="0" applyNumberFormat="1" applyBorder="1" applyAlignment="1">
      <alignment horizontal="right" vertical="center"/>
    </xf>
    <xf numFmtId="49" fontId="8" fillId="0" borderId="0" xfId="0" applyNumberFormat="1" applyFont="1" applyBorder="1" applyAlignment="1">
      <alignment horizontal="left" vertical="center"/>
    </xf>
    <xf numFmtId="175" fontId="0" fillId="0" borderId="0" xfId="0" applyNumberFormat="1" applyFill="1" applyBorder="1" applyAlignment="1">
      <alignment horizontal="left" vertical="center" wrapText="1"/>
    </xf>
    <xf numFmtId="0" fontId="11" fillId="2" borderId="24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43" fontId="12" fillId="2" borderId="25" xfId="1" applyFont="1" applyFill="1" applyBorder="1" applyAlignment="1">
      <alignment horizontal="center" vertical="center"/>
    </xf>
    <xf numFmtId="164" fontId="11" fillId="2" borderId="25" xfId="2" applyFont="1" applyFill="1" applyBorder="1" applyAlignment="1">
      <alignment horizontal="center" vertical="center"/>
    </xf>
    <xf numFmtId="164" fontId="11" fillId="2" borderId="20" xfId="2" applyFont="1" applyFill="1" applyBorder="1" applyAlignment="1">
      <alignment horizontal="center" vertical="center"/>
    </xf>
    <xf numFmtId="0" fontId="11" fillId="3" borderId="26" xfId="0" applyFont="1" applyFill="1" applyBorder="1" applyAlignment="1">
      <alignment horizontal="center" vertical="center" wrapText="1"/>
    </xf>
    <xf numFmtId="0" fontId="11" fillId="3" borderId="27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43" fontId="13" fillId="3" borderId="27" xfId="1" applyFont="1" applyFill="1" applyBorder="1" applyAlignment="1">
      <alignment horizontal="right" vertical="center"/>
    </xf>
    <xf numFmtId="164" fontId="3" fillId="3" borderId="27" xfId="2" applyFont="1" applyFill="1" applyBorder="1" applyAlignment="1">
      <alignment horizontal="right" vertical="center"/>
    </xf>
    <xf numFmtId="164" fontId="3" fillId="3" borderId="28" xfId="2" applyFont="1" applyFill="1" applyBorder="1" applyAlignment="1">
      <alignment horizontal="right" vertical="center"/>
    </xf>
    <xf numFmtId="0" fontId="11" fillId="5" borderId="13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/>
    </xf>
    <xf numFmtId="43" fontId="13" fillId="5" borderId="2" xfId="1" applyFont="1" applyFill="1" applyBorder="1" applyAlignment="1">
      <alignment horizontal="right" vertical="center"/>
    </xf>
    <xf numFmtId="164" fontId="3" fillId="5" borderId="2" xfId="2" applyFont="1" applyFill="1" applyBorder="1" applyAlignment="1">
      <alignment horizontal="right" vertical="center"/>
    </xf>
    <xf numFmtId="164" fontId="3" fillId="5" borderId="14" xfId="2" applyFont="1" applyFill="1" applyBorder="1" applyAlignment="1">
      <alignment horizontal="right" vertical="center"/>
    </xf>
    <xf numFmtId="0" fontId="14" fillId="0" borderId="13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43" fontId="13" fillId="0" borderId="2" xfId="1" applyFont="1" applyBorder="1" applyAlignment="1">
      <alignment horizontal="right" vertical="center"/>
    </xf>
    <xf numFmtId="164" fontId="3" fillId="0" borderId="2" xfId="2" applyFont="1" applyFill="1" applyBorder="1" applyAlignment="1">
      <alignment horizontal="right" vertical="center"/>
    </xf>
    <xf numFmtId="164" fontId="3" fillId="0" borderId="14" xfId="2" applyFont="1" applyFill="1" applyBorder="1" applyAlignment="1">
      <alignment horizontal="right" vertical="center"/>
    </xf>
    <xf numFmtId="0" fontId="3" fillId="0" borderId="13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left" vertical="center" wrapText="1"/>
    </xf>
    <xf numFmtId="49" fontId="3" fillId="0" borderId="34" xfId="0" applyNumberFormat="1" applyFont="1" applyFill="1" applyBorder="1" applyAlignment="1">
      <alignment horizontal="center" vertical="center" wrapText="1"/>
    </xf>
    <xf numFmtId="43" fontId="13" fillId="0" borderId="34" xfId="1" applyFont="1" applyFill="1" applyBorder="1" applyAlignment="1">
      <alignment horizontal="right" vertical="center"/>
    </xf>
    <xf numFmtId="164" fontId="3" fillId="0" borderId="34" xfId="2" applyFont="1" applyFill="1" applyBorder="1" applyAlignment="1">
      <alignment horizontal="right" vertical="center"/>
    </xf>
    <xf numFmtId="164" fontId="11" fillId="0" borderId="23" xfId="2" applyFont="1" applyFill="1" applyBorder="1" applyAlignment="1">
      <alignment horizontal="right" vertical="center" wrapText="1"/>
    </xf>
    <xf numFmtId="9" fontId="11" fillId="0" borderId="2" xfId="3" applyFont="1" applyFill="1" applyBorder="1" applyAlignment="1">
      <alignment horizontal="right" vertical="center" wrapText="1"/>
    </xf>
    <xf numFmtId="164" fontId="3" fillId="0" borderId="14" xfId="2" applyFont="1" applyFill="1" applyBorder="1" applyAlignment="1">
      <alignment horizontal="right" vertical="center" wrapText="1"/>
    </xf>
    <xf numFmtId="9" fontId="11" fillId="0" borderId="11" xfId="3" applyFont="1" applyFill="1" applyBorder="1" applyAlignment="1">
      <alignment horizontal="right" vertical="center" wrapText="1"/>
    </xf>
    <xf numFmtId="164" fontId="3" fillId="0" borderId="12" xfId="2" applyFont="1" applyFill="1" applyBorder="1" applyAlignment="1">
      <alignment horizontal="right" vertical="center" wrapText="1"/>
    </xf>
    <xf numFmtId="164" fontId="11" fillId="3" borderId="20" xfId="2" applyFont="1" applyFill="1" applyBorder="1" applyAlignment="1">
      <alignment horizontal="right" vertical="center" wrapText="1"/>
    </xf>
    <xf numFmtId="43" fontId="3" fillId="0" borderId="0" xfId="1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164" fontId="3" fillId="0" borderId="0" xfId="2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2" fontId="3" fillId="0" borderId="0" xfId="1" applyNumberFormat="1" applyFont="1" applyFill="1" applyAlignment="1">
      <alignment vertical="center" wrapText="1"/>
    </xf>
    <xf numFmtId="164" fontId="3" fillId="0" borderId="0" xfId="2" applyNumberFormat="1" applyFont="1" applyFill="1" applyAlignment="1">
      <alignment vertical="center" wrapText="1"/>
    </xf>
    <xf numFmtId="0" fontId="3" fillId="0" borderId="0" xfId="0" applyFont="1" applyFill="1" applyAlignment="1">
      <alignment horizontal="right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43" fontId="13" fillId="0" borderId="2" xfId="1" applyFont="1" applyFill="1" applyBorder="1" applyAlignment="1">
      <alignment horizontal="right" vertical="center"/>
    </xf>
    <xf numFmtId="0" fontId="3" fillId="0" borderId="16" xfId="0" applyFont="1" applyFill="1" applyBorder="1" applyAlignment="1">
      <alignment horizontal="left" vertical="center" wrapText="1"/>
    </xf>
    <xf numFmtId="49" fontId="3" fillId="0" borderId="16" xfId="0" applyNumberFormat="1" applyFont="1" applyFill="1" applyBorder="1" applyAlignment="1">
      <alignment horizontal="center" vertical="center" wrapText="1"/>
    </xf>
    <xf numFmtId="43" fontId="13" fillId="0" borderId="16" xfId="1" applyFont="1" applyFill="1" applyBorder="1" applyAlignment="1">
      <alignment horizontal="right" vertical="center"/>
    </xf>
    <xf numFmtId="164" fontId="3" fillId="0" borderId="16" xfId="2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vertical="center" wrapText="1"/>
    </xf>
    <xf numFmtId="0" fontId="0" fillId="0" borderId="0" xfId="0" applyBorder="1" applyAlignment="1">
      <alignment horizontal="left" vertical="center" wrapText="1"/>
    </xf>
    <xf numFmtId="43" fontId="11" fillId="0" borderId="0" xfId="1" applyFont="1" applyBorder="1" applyAlignment="1">
      <alignment horizontal="center" vertical="center" wrapText="1"/>
    </xf>
    <xf numFmtId="43" fontId="3" fillId="0" borderId="0" xfId="1" applyFont="1" applyFill="1" applyAlignment="1">
      <alignment vertical="center"/>
    </xf>
    <xf numFmtId="43" fontId="15" fillId="0" borderId="0" xfId="1" applyFont="1" applyBorder="1" applyAlignment="1">
      <alignment horizontal="center" vertical="center" wrapText="1"/>
    </xf>
    <xf numFmtId="43" fontId="14" fillId="0" borderId="0" xfId="1" applyFont="1"/>
    <xf numFmtId="9" fontId="3" fillId="0" borderId="0" xfId="1" applyNumberFormat="1" applyFont="1" applyFill="1" applyAlignment="1">
      <alignment vertical="center" wrapText="1"/>
    </xf>
    <xf numFmtId="9" fontId="3" fillId="0" borderId="0" xfId="1" applyNumberFormat="1" applyFont="1" applyFill="1" applyAlignment="1">
      <alignment vertical="center"/>
    </xf>
    <xf numFmtId="0" fontId="3" fillId="0" borderId="0" xfId="0" applyFont="1" applyAlignment="1">
      <alignment horizontal="right" vertical="center" wrapText="1"/>
    </xf>
    <xf numFmtId="0" fontId="3" fillId="0" borderId="0" xfId="0" applyFont="1" applyAlignment="1">
      <alignment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vertical="center" wrapText="1"/>
    </xf>
    <xf numFmtId="0" fontId="0" fillId="0" borderId="0" xfId="0" applyBorder="1" applyAlignment="1">
      <alignment horizontal="left" vertical="center" wrapText="1"/>
    </xf>
    <xf numFmtId="43" fontId="13" fillId="6" borderId="2" xfId="1" applyFont="1" applyFill="1" applyBorder="1" applyAlignment="1">
      <alignment horizontal="right" vertical="center"/>
    </xf>
    <xf numFmtId="0" fontId="2" fillId="0" borderId="36" xfId="0" applyFont="1" applyBorder="1" applyAlignment="1">
      <alignment horizontal="left" vertical="center"/>
    </xf>
    <xf numFmtId="168" fontId="0" fillId="6" borderId="31" xfId="2" applyNumberFormat="1" applyFont="1" applyFill="1" applyBorder="1"/>
    <xf numFmtId="169" fontId="0" fillId="6" borderId="31" xfId="2" applyNumberFormat="1" applyFont="1" applyFill="1" applyBorder="1"/>
    <xf numFmtId="168" fontId="0" fillId="5" borderId="31" xfId="2" applyNumberFormat="1" applyFont="1" applyFill="1" applyBorder="1"/>
    <xf numFmtId="169" fontId="0" fillId="5" borderId="31" xfId="2" applyNumberFormat="1" applyFont="1" applyFill="1" applyBorder="1"/>
    <xf numFmtId="0" fontId="0" fillId="0" borderId="4" xfId="0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49" fontId="0" fillId="0" borderId="4" xfId="0" applyNumberFormat="1" applyBorder="1" applyAlignment="1">
      <alignment horizontal="left" vertical="center" wrapText="1"/>
    </xf>
    <xf numFmtId="0" fontId="0" fillId="0" borderId="4" xfId="0" applyBorder="1" applyAlignment="1">
      <alignment horizontal="left" wrapText="1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left" vertical="center" wrapText="1"/>
    </xf>
    <xf numFmtId="0" fontId="11" fillId="3" borderId="17" xfId="0" applyFont="1" applyFill="1" applyBorder="1" applyAlignment="1">
      <alignment horizontal="center" vertic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justify" vertical="top" wrapText="1"/>
    </xf>
    <xf numFmtId="0" fontId="3" fillId="0" borderId="4" xfId="0" applyFont="1" applyBorder="1" applyAlignment="1">
      <alignment horizontal="justify" vertical="top" wrapText="1"/>
    </xf>
    <xf numFmtId="0" fontId="3" fillId="0" borderId="5" xfId="0" applyFont="1" applyBorder="1" applyAlignment="1">
      <alignment horizontal="justify" vertical="top" wrapText="1"/>
    </xf>
    <xf numFmtId="0" fontId="3" fillId="0" borderId="1" xfId="0" applyFont="1" applyBorder="1" applyAlignment="1">
      <alignment horizontal="justify" vertical="top" wrapText="1"/>
    </xf>
    <xf numFmtId="0" fontId="3" fillId="0" borderId="0" xfId="0" applyFont="1" applyAlignment="1">
      <alignment horizontal="justify" vertical="top" wrapText="1"/>
    </xf>
    <xf numFmtId="0" fontId="3" fillId="0" borderId="6" xfId="0" applyFont="1" applyBorder="1" applyAlignment="1">
      <alignment horizontal="justify" vertical="top" wrapText="1"/>
    </xf>
    <xf numFmtId="0" fontId="3" fillId="0" borderId="7" xfId="0" applyFont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top" wrapText="1"/>
    </xf>
    <xf numFmtId="0" fontId="3" fillId="0" borderId="9" xfId="0" applyFont="1" applyBorder="1" applyAlignment="1">
      <alignment horizontal="justify" vertical="top" wrapText="1"/>
    </xf>
    <xf numFmtId="43" fontId="3" fillId="0" borderId="0" xfId="1" applyFont="1" applyBorder="1" applyAlignment="1">
      <alignment horizontal="left" vertical="center" wrapText="1"/>
    </xf>
    <xf numFmtId="0" fontId="11" fillId="0" borderId="1" xfId="0" applyFont="1" applyFill="1" applyBorder="1" applyAlignment="1">
      <alignment horizontal="justify" vertical="center" wrapText="1"/>
    </xf>
    <xf numFmtId="0" fontId="11" fillId="0" borderId="0" xfId="0" applyFont="1" applyFill="1" applyBorder="1" applyAlignment="1">
      <alignment horizontal="justify" vertical="center" wrapText="1"/>
    </xf>
    <xf numFmtId="0" fontId="11" fillId="0" borderId="6" xfId="0" applyFont="1" applyFill="1" applyBorder="1" applyAlignment="1">
      <alignment horizontal="justify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left" vertical="center" wrapText="1"/>
    </xf>
    <xf numFmtId="0" fontId="11" fillId="0" borderId="22" xfId="0" applyFont="1" applyFill="1" applyBorder="1" applyAlignment="1">
      <alignment horizontal="left" vertical="center" wrapText="1"/>
    </xf>
    <xf numFmtId="0" fontId="11" fillId="0" borderId="13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10" xfId="0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left" vertical="center" wrapText="1"/>
    </xf>
    <xf numFmtId="0" fontId="11" fillId="0" borderId="13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justify" vertical="center" wrapText="1"/>
    </xf>
    <xf numFmtId="0" fontId="11" fillId="0" borderId="0" xfId="0" applyFont="1" applyAlignment="1">
      <alignment horizontal="justify" vertical="center" wrapText="1"/>
    </xf>
    <xf numFmtId="0" fontId="11" fillId="0" borderId="6" xfId="0" applyFont="1" applyBorder="1" applyAlignment="1">
      <alignment horizontal="justify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22" xfId="0" applyFont="1" applyBorder="1" applyAlignment="1">
      <alignment horizontal="left" vertical="center" wrapText="1"/>
    </xf>
  </cellXfs>
  <cellStyles count="7">
    <cellStyle name="Millares" xfId="1" builtinId="3"/>
    <cellStyle name="Millares 2" xfId="5" xr:uid="{FCE7CCE0-FA55-40A3-BB12-1951E19B2268}"/>
    <cellStyle name="Moneda" xfId="2" builtinId="4"/>
    <cellStyle name="Moneda 2" xfId="6" xr:uid="{ED38C5CC-7B75-4FE2-AAC1-DB3E6E437801}"/>
    <cellStyle name="Normal" xfId="0" builtinId="0"/>
    <cellStyle name="Normal 2" xfId="4" xr:uid="{00000000-0005-0000-0000-000003000000}"/>
    <cellStyle name="Porcentaje" xfId="3" builtinId="5"/>
  </cellStyles>
  <dxfs count="0"/>
  <tableStyles count="0" defaultTableStyle="TableStyleMedium2" defaultPivotStyle="PivotStyleLight16"/>
  <colors>
    <mruColors>
      <color rgb="FF99FF99"/>
      <color rgb="FF42F0EC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7.png"/><Relationship Id="rId1" Type="http://schemas.openxmlformats.org/officeDocument/2006/relationships/image" Target="../media/image6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7.png"/><Relationship Id="rId1" Type="http://schemas.openxmlformats.org/officeDocument/2006/relationships/image" Target="../media/image6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7.png"/><Relationship Id="rId1" Type="http://schemas.openxmlformats.org/officeDocument/2006/relationships/image" Target="../media/image6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7.png"/><Relationship Id="rId1" Type="http://schemas.openxmlformats.org/officeDocument/2006/relationships/image" Target="../media/image6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7.png"/><Relationship Id="rId1" Type="http://schemas.openxmlformats.org/officeDocument/2006/relationships/image" Target="../media/image6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7.png"/><Relationship Id="rId1" Type="http://schemas.openxmlformats.org/officeDocument/2006/relationships/image" Target="../media/image6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7.png"/><Relationship Id="rId1" Type="http://schemas.openxmlformats.org/officeDocument/2006/relationships/image" Target="../media/image6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27</xdr:row>
      <xdr:rowOff>0</xdr:rowOff>
    </xdr:from>
    <xdr:to>
      <xdr:col>8</xdr:col>
      <xdr:colOff>628651</xdr:colOff>
      <xdr:row>34</xdr:row>
      <xdr:rowOff>66674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C6CBF3-0266-47F6-8712-76ABE2B2A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1" y="5486400"/>
          <a:ext cx="1390650" cy="182879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8</xdr:col>
      <xdr:colOff>533400</xdr:colOff>
      <xdr:row>42</xdr:row>
      <xdr:rowOff>295275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283CE09-35C2-4A38-AEA2-408A82D61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72300" y="7610475"/>
          <a:ext cx="1295400" cy="17335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93</xdr:row>
      <xdr:rowOff>1</xdr:rowOff>
    </xdr:from>
    <xdr:to>
      <xdr:col>8</xdr:col>
      <xdr:colOff>476250</xdr:colOff>
      <xdr:row>99</xdr:row>
      <xdr:rowOff>104775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52BB147-2E6B-4E16-BC40-64A4CD7D3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72300" y="19973926"/>
          <a:ext cx="1238250" cy="1476374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112</xdr:row>
      <xdr:rowOff>1</xdr:rowOff>
    </xdr:from>
    <xdr:to>
      <xdr:col>8</xdr:col>
      <xdr:colOff>790575</xdr:colOff>
      <xdr:row>120</xdr:row>
      <xdr:rowOff>28575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339A068-84B4-46AF-A7CB-F8D55CD1F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72301" y="23631526"/>
          <a:ext cx="1552574" cy="1781174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173</xdr:row>
      <xdr:rowOff>0</xdr:rowOff>
    </xdr:from>
    <xdr:to>
      <xdr:col>10</xdr:col>
      <xdr:colOff>304800</xdr:colOff>
      <xdr:row>179</xdr:row>
      <xdr:rowOff>28575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7B71CC-38C3-4E51-88E0-EEFE70567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67776" y="39500175"/>
          <a:ext cx="1066799" cy="15716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8</xdr:col>
      <xdr:colOff>428625</xdr:colOff>
      <xdr:row>179</xdr:row>
      <xdr:rowOff>76200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46BA48A-1D85-4B96-92BB-C85C1734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72300" y="39300150"/>
          <a:ext cx="1190625" cy="18192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181</xdr:row>
      <xdr:rowOff>1</xdr:rowOff>
    </xdr:from>
    <xdr:to>
      <xdr:col>8</xdr:col>
      <xdr:colOff>476250</xdr:colOff>
      <xdr:row>186</xdr:row>
      <xdr:rowOff>28575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4CBEF153-F96D-4FE0-8A9D-0941FD248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972300" y="41424226"/>
          <a:ext cx="1238250" cy="1552574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164</xdr:row>
      <xdr:rowOff>1</xdr:rowOff>
    </xdr:from>
    <xdr:to>
      <xdr:col>10</xdr:col>
      <xdr:colOff>495300</xdr:colOff>
      <xdr:row>169</xdr:row>
      <xdr:rowOff>361950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C97C89CD-900D-48AD-A7CE-EBBA7D0BF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96350" y="37299901"/>
          <a:ext cx="1228725" cy="1409699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180</xdr:row>
      <xdr:rowOff>190499</xdr:rowOff>
    </xdr:from>
    <xdr:to>
      <xdr:col>10</xdr:col>
      <xdr:colOff>342901</xdr:colOff>
      <xdr:row>185</xdr:row>
      <xdr:rowOff>171449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F9B42B5F-580D-482A-96E5-8A4ABCA3E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67776" y="41424224"/>
          <a:ext cx="1104900" cy="1495425"/>
        </a:xfrm>
        <a:prstGeom prst="rect">
          <a:avLst/>
        </a:prstGeom>
      </xdr:spPr>
    </xdr:pic>
    <xdr:clientData/>
  </xdr:twoCellAnchor>
  <xdr:twoCellAnchor editAs="oneCell">
    <xdr:from>
      <xdr:col>6</xdr:col>
      <xdr:colOff>752475</xdr:colOff>
      <xdr:row>155</xdr:row>
      <xdr:rowOff>180975</xdr:rowOff>
    </xdr:from>
    <xdr:to>
      <xdr:col>8</xdr:col>
      <xdr:colOff>342900</xdr:colOff>
      <xdr:row>161</xdr:row>
      <xdr:rowOff>85725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F2CC5032-FFAF-495D-AA71-D2524A425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62775" y="35433000"/>
          <a:ext cx="1114425" cy="12858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163</xdr:row>
      <xdr:rowOff>0</xdr:rowOff>
    </xdr:from>
    <xdr:to>
      <xdr:col>8</xdr:col>
      <xdr:colOff>409575</xdr:colOff>
      <xdr:row>169</xdr:row>
      <xdr:rowOff>361950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66148BB7-F348-48EE-A256-4939C17FB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972300" y="37099875"/>
          <a:ext cx="1171575" cy="16097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259</xdr:row>
      <xdr:rowOff>0</xdr:rowOff>
    </xdr:from>
    <xdr:to>
      <xdr:col>8</xdr:col>
      <xdr:colOff>600075</xdr:colOff>
      <xdr:row>265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70A9F7-E5E4-447D-ACBC-4723DA343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72300" y="58473975"/>
          <a:ext cx="1362075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8</xdr:col>
      <xdr:colOff>533400</xdr:colOff>
      <xdr:row>289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D54DC17-0952-427C-8FBF-191A81A2A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972300" y="63017400"/>
          <a:ext cx="1295400" cy="20383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296</xdr:row>
      <xdr:rowOff>1</xdr:rowOff>
    </xdr:from>
    <xdr:to>
      <xdr:col>10</xdr:col>
      <xdr:colOff>28576</xdr:colOff>
      <xdr:row>305</xdr:row>
      <xdr:rowOff>209550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3AAC7261-E7C0-42D0-8793-EF6AE5401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972301" y="66541651"/>
          <a:ext cx="2686050" cy="221932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311</xdr:row>
      <xdr:rowOff>0</xdr:rowOff>
    </xdr:from>
    <xdr:to>
      <xdr:col>8</xdr:col>
      <xdr:colOff>676275</xdr:colOff>
      <xdr:row>313</xdr:row>
      <xdr:rowOff>28575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97184FDA-73AF-45AC-A1DC-17A858D71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972300" y="69970650"/>
          <a:ext cx="1438275" cy="8477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311</xdr:row>
      <xdr:rowOff>1</xdr:rowOff>
    </xdr:from>
    <xdr:to>
      <xdr:col>10</xdr:col>
      <xdr:colOff>704850</xdr:colOff>
      <xdr:row>316</xdr:row>
      <xdr:rowOff>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7DC7878-C2D0-4C9D-A2BB-66784C70C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867775" y="69970651"/>
          <a:ext cx="1466850" cy="13906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340</xdr:row>
      <xdr:rowOff>0</xdr:rowOff>
    </xdr:from>
    <xdr:to>
      <xdr:col>8</xdr:col>
      <xdr:colOff>552450</xdr:colOff>
      <xdr:row>347</xdr:row>
      <xdr:rowOff>104775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BD7BA96F-ADA7-4C45-BFBF-5A2C57135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972300" y="77000100"/>
          <a:ext cx="1314450" cy="1800225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388</xdr:row>
      <xdr:rowOff>161926</xdr:rowOff>
    </xdr:from>
    <xdr:to>
      <xdr:col>8</xdr:col>
      <xdr:colOff>666750</xdr:colOff>
      <xdr:row>396</xdr:row>
      <xdr:rowOff>114301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8C8128AA-C52C-4795-BB12-0B3AEDC1E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048500" y="81638776"/>
          <a:ext cx="1352550" cy="1543050"/>
        </a:xfrm>
        <a:prstGeom prst="rect">
          <a:avLst/>
        </a:prstGeom>
      </xdr:spPr>
    </xdr:pic>
    <xdr:clientData/>
  </xdr:twoCellAnchor>
  <xdr:twoCellAnchor editAs="oneCell">
    <xdr:from>
      <xdr:col>6</xdr:col>
      <xdr:colOff>723901</xdr:colOff>
      <xdr:row>517</xdr:row>
      <xdr:rowOff>104775</xdr:rowOff>
    </xdr:from>
    <xdr:to>
      <xdr:col>8</xdr:col>
      <xdr:colOff>419101</xdr:colOff>
      <xdr:row>523</xdr:row>
      <xdr:rowOff>76199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B9770E49-ABE0-49D7-BA75-6FC173B1C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934201" y="90458925"/>
          <a:ext cx="1219200" cy="1323975"/>
        </a:xfrm>
        <a:prstGeom prst="rect">
          <a:avLst/>
        </a:prstGeom>
      </xdr:spPr>
    </xdr:pic>
    <xdr:clientData/>
  </xdr:twoCellAnchor>
  <xdr:twoCellAnchor editAs="oneCell">
    <xdr:from>
      <xdr:col>8</xdr:col>
      <xdr:colOff>904875</xdr:colOff>
      <xdr:row>517</xdr:row>
      <xdr:rowOff>104774</xdr:rowOff>
    </xdr:from>
    <xdr:to>
      <xdr:col>10</xdr:col>
      <xdr:colOff>371475</xdr:colOff>
      <xdr:row>524</xdr:row>
      <xdr:rowOff>47624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49542829-44E6-4B9E-8552-CB6EA47AE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639175" y="90458924"/>
          <a:ext cx="1362075" cy="148590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593</xdr:row>
      <xdr:rowOff>1</xdr:rowOff>
    </xdr:from>
    <xdr:to>
      <xdr:col>8</xdr:col>
      <xdr:colOff>552451</xdr:colOff>
      <xdr:row>599</xdr:row>
      <xdr:rowOff>85724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5F5B2338-BD74-4414-B6CB-6FB228E78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972301" y="108270676"/>
          <a:ext cx="1314450" cy="1466849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593</xdr:row>
      <xdr:rowOff>0</xdr:rowOff>
    </xdr:from>
    <xdr:to>
      <xdr:col>10</xdr:col>
      <xdr:colOff>647701</xdr:colOff>
      <xdr:row>599</xdr:row>
      <xdr:rowOff>19049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C2C37130-00C6-49C2-BCF7-9E1A77D2C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67776" y="108270675"/>
          <a:ext cx="1409700" cy="14001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601</xdr:row>
      <xdr:rowOff>1</xdr:rowOff>
    </xdr:from>
    <xdr:to>
      <xdr:col>8</xdr:col>
      <xdr:colOff>276225</xdr:colOff>
      <xdr:row>607</xdr:row>
      <xdr:rowOff>180977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2CD75F63-01A5-4C3E-B3F7-5B2276323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972300" y="110051851"/>
          <a:ext cx="1038225" cy="1371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601</xdr:row>
      <xdr:rowOff>1</xdr:rowOff>
    </xdr:from>
    <xdr:to>
      <xdr:col>10</xdr:col>
      <xdr:colOff>590550</xdr:colOff>
      <xdr:row>608</xdr:row>
      <xdr:rowOff>38102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4CF55E25-994C-4D15-80A9-BE00F1509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867775" y="110013751"/>
          <a:ext cx="1352550" cy="14287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609</xdr:row>
      <xdr:rowOff>1</xdr:rowOff>
    </xdr:from>
    <xdr:to>
      <xdr:col>8</xdr:col>
      <xdr:colOff>447675</xdr:colOff>
      <xdr:row>614</xdr:row>
      <xdr:rowOff>104776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6FAA9656-1F03-4333-A7E6-DF8D32F2F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972300" y="111594901"/>
          <a:ext cx="1209675" cy="1219200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663</xdr:row>
      <xdr:rowOff>1</xdr:rowOff>
    </xdr:from>
    <xdr:to>
      <xdr:col>11</xdr:col>
      <xdr:colOff>171451</xdr:colOff>
      <xdr:row>668</xdr:row>
      <xdr:rowOff>66677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D7A9E025-CB19-4791-9FC6-FFE27ABBB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867776" y="124348876"/>
          <a:ext cx="1695450" cy="10477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663</xdr:row>
      <xdr:rowOff>0</xdr:rowOff>
    </xdr:from>
    <xdr:to>
      <xdr:col>8</xdr:col>
      <xdr:colOff>476250</xdr:colOff>
      <xdr:row>670</xdr:row>
      <xdr:rowOff>19051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1433D1B9-36FE-4F33-AEC2-8F89479E1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972300" y="124348875"/>
          <a:ext cx="1238250" cy="14001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656</xdr:row>
      <xdr:rowOff>1</xdr:rowOff>
    </xdr:from>
    <xdr:to>
      <xdr:col>8</xdr:col>
      <xdr:colOff>466725</xdr:colOff>
      <xdr:row>661</xdr:row>
      <xdr:rowOff>180975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603ABA7-4B0F-4463-9464-ADA570CAD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972300" y="122967751"/>
          <a:ext cx="1228725" cy="1162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761</xdr:row>
      <xdr:rowOff>0</xdr:rowOff>
    </xdr:from>
    <xdr:to>
      <xdr:col>8</xdr:col>
      <xdr:colOff>514351</xdr:colOff>
      <xdr:row>769</xdr:row>
      <xdr:rowOff>114301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C643E6D-F555-4F5D-A6CD-70F4DF2D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72301" y="139693650"/>
          <a:ext cx="1276350" cy="1676400"/>
        </a:xfrm>
        <a:prstGeom prst="rect">
          <a:avLst/>
        </a:prstGeom>
      </xdr:spPr>
    </xdr:pic>
    <xdr:clientData/>
  </xdr:twoCellAnchor>
  <xdr:twoCellAnchor editAs="oneCell">
    <xdr:from>
      <xdr:col>9</xdr:col>
      <xdr:colOff>2</xdr:colOff>
      <xdr:row>761</xdr:row>
      <xdr:rowOff>1</xdr:rowOff>
    </xdr:from>
    <xdr:to>
      <xdr:col>10</xdr:col>
      <xdr:colOff>542926</xdr:colOff>
      <xdr:row>765</xdr:row>
      <xdr:rowOff>76202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FEADEA77-5DE6-4D18-9B5B-5AF487C5D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867777" y="139693651"/>
          <a:ext cx="1304924" cy="8572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810</xdr:row>
      <xdr:rowOff>0</xdr:rowOff>
    </xdr:from>
    <xdr:to>
      <xdr:col>8</xdr:col>
      <xdr:colOff>352425</xdr:colOff>
      <xdr:row>819</xdr:row>
      <xdr:rowOff>66676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909C48-9FE4-4E81-ADE9-307CF88F6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972300" y="144703800"/>
          <a:ext cx="1114425" cy="18288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810</xdr:row>
      <xdr:rowOff>0</xdr:rowOff>
    </xdr:from>
    <xdr:to>
      <xdr:col>10</xdr:col>
      <xdr:colOff>409575</xdr:colOff>
      <xdr:row>818</xdr:row>
      <xdr:rowOff>114301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F3DF091E-7C02-439B-BFB7-878632F26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67775" y="144703800"/>
          <a:ext cx="1171575" cy="168592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865</xdr:row>
      <xdr:rowOff>0</xdr:rowOff>
    </xdr:from>
    <xdr:to>
      <xdr:col>8</xdr:col>
      <xdr:colOff>647701</xdr:colOff>
      <xdr:row>872</xdr:row>
      <xdr:rowOff>47625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A8EBE5C8-5730-4592-A959-48C0DDE5B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972301" y="152123775"/>
          <a:ext cx="1409700" cy="2047875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866</xdr:row>
      <xdr:rowOff>0</xdr:rowOff>
    </xdr:from>
    <xdr:to>
      <xdr:col>10</xdr:col>
      <xdr:colOff>323851</xdr:colOff>
      <xdr:row>871</xdr:row>
      <xdr:rowOff>123826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DE41072F-690C-4DBA-BBCF-EA167B52E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867776" y="152323800"/>
          <a:ext cx="1085850" cy="17240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855</xdr:row>
      <xdr:rowOff>1</xdr:rowOff>
    </xdr:from>
    <xdr:to>
      <xdr:col>8</xdr:col>
      <xdr:colOff>666750</xdr:colOff>
      <xdr:row>859</xdr:row>
      <xdr:rowOff>85727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207DAC4D-1333-47E1-8758-D7C91E166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972300" y="148990051"/>
          <a:ext cx="1428750" cy="20383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890</xdr:row>
      <xdr:rowOff>0</xdr:rowOff>
    </xdr:from>
    <xdr:to>
      <xdr:col>8</xdr:col>
      <xdr:colOff>342901</xdr:colOff>
      <xdr:row>894</xdr:row>
      <xdr:rowOff>209550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05A9A85B-7988-46C1-8D55-885E87CC0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972301" y="160077150"/>
          <a:ext cx="1104900" cy="15144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890</xdr:row>
      <xdr:rowOff>0</xdr:rowOff>
    </xdr:from>
    <xdr:to>
      <xdr:col>10</xdr:col>
      <xdr:colOff>647700</xdr:colOff>
      <xdr:row>892</xdr:row>
      <xdr:rowOff>257175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FEB2AD8D-3DB0-4627-BA4B-40D7F91CA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867775" y="160077150"/>
          <a:ext cx="1409700" cy="8953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917</xdr:row>
      <xdr:rowOff>0</xdr:rowOff>
    </xdr:from>
    <xdr:to>
      <xdr:col>8</xdr:col>
      <xdr:colOff>600075</xdr:colOff>
      <xdr:row>917</xdr:row>
      <xdr:rowOff>600075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F046196-250F-4960-8ABB-1B665B315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72301" y="167763825"/>
          <a:ext cx="1362074" cy="600075"/>
        </a:xfrm>
        <a:prstGeom prst="rect">
          <a:avLst/>
        </a:prstGeom>
      </xdr:spPr>
    </xdr:pic>
    <xdr:clientData/>
  </xdr:twoCellAnchor>
  <xdr:twoCellAnchor editAs="oneCell">
    <xdr:from>
      <xdr:col>8</xdr:col>
      <xdr:colOff>1114425</xdr:colOff>
      <xdr:row>916</xdr:row>
      <xdr:rowOff>114301</xdr:rowOff>
    </xdr:from>
    <xdr:to>
      <xdr:col>10</xdr:col>
      <xdr:colOff>247650</xdr:colOff>
      <xdr:row>919</xdr:row>
      <xdr:rowOff>95249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9B548451-701D-4790-8F57-0BF5376B3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848725" y="167249476"/>
          <a:ext cx="1028700" cy="137159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961</xdr:row>
      <xdr:rowOff>0</xdr:rowOff>
    </xdr:from>
    <xdr:to>
      <xdr:col>8</xdr:col>
      <xdr:colOff>228601</xdr:colOff>
      <xdr:row>968</xdr:row>
      <xdr:rowOff>19051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DF921B44-BA2C-47A8-8FA0-7AF833706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972301" y="178641375"/>
          <a:ext cx="990600" cy="14001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1084</xdr:row>
      <xdr:rowOff>0</xdr:rowOff>
    </xdr:from>
    <xdr:to>
      <xdr:col>8</xdr:col>
      <xdr:colOff>561975</xdr:colOff>
      <xdr:row>1090</xdr:row>
      <xdr:rowOff>314324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B72AE554-CA2B-407B-905A-2B366637F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972300" y="208092675"/>
          <a:ext cx="1323975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1060</xdr:row>
      <xdr:rowOff>152400</xdr:rowOff>
    </xdr:from>
    <xdr:to>
      <xdr:col>8</xdr:col>
      <xdr:colOff>390525</xdr:colOff>
      <xdr:row>1068</xdr:row>
      <xdr:rowOff>76200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B2DCF6DA-1F8B-495D-B0B5-4A060976B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972301" y="202968225"/>
          <a:ext cx="1152524" cy="1676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640</xdr:row>
      <xdr:rowOff>0</xdr:rowOff>
    </xdr:from>
    <xdr:to>
      <xdr:col>8</xdr:col>
      <xdr:colOff>190500</xdr:colOff>
      <xdr:row>644</xdr:row>
      <xdr:rowOff>190501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779404CD-656A-4391-BFBD-A96CFB3BA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972300" y="119148225"/>
          <a:ext cx="952500" cy="13620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640</xdr:row>
      <xdr:rowOff>1</xdr:rowOff>
    </xdr:from>
    <xdr:to>
      <xdr:col>10</xdr:col>
      <xdr:colOff>314325</xdr:colOff>
      <xdr:row>645</xdr:row>
      <xdr:rowOff>19052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E1E83CD9-E09B-40DA-9449-6079137C0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867775" y="119148226"/>
          <a:ext cx="1076325" cy="13906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635</xdr:row>
      <xdr:rowOff>0</xdr:rowOff>
    </xdr:from>
    <xdr:to>
      <xdr:col>8</xdr:col>
      <xdr:colOff>390525</xdr:colOff>
      <xdr:row>639</xdr:row>
      <xdr:rowOff>180976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04057BAE-B0C1-48C5-964B-F3D0215F4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972300" y="117348000"/>
          <a:ext cx="1152525" cy="15525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635</xdr:row>
      <xdr:rowOff>0</xdr:rowOff>
    </xdr:from>
    <xdr:to>
      <xdr:col>10</xdr:col>
      <xdr:colOff>304800</xdr:colOff>
      <xdr:row>639</xdr:row>
      <xdr:rowOff>161926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3350BA15-78EA-485C-9DFD-FCB6B62CB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867775" y="117348000"/>
          <a:ext cx="106680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625</xdr:row>
      <xdr:rowOff>0</xdr:rowOff>
    </xdr:from>
    <xdr:to>
      <xdr:col>8</xdr:col>
      <xdr:colOff>619125</xdr:colOff>
      <xdr:row>632</xdr:row>
      <xdr:rowOff>95250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34B74C3F-757E-4EA3-93E2-D0F124D88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972300" y="115309650"/>
          <a:ext cx="1381125" cy="15335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625</xdr:row>
      <xdr:rowOff>0</xdr:rowOff>
    </xdr:from>
    <xdr:to>
      <xdr:col>11</xdr:col>
      <xdr:colOff>85725</xdr:colOff>
      <xdr:row>632</xdr:row>
      <xdr:rowOff>133350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87CCE84B-E200-4BBF-8BC2-64E33A4E7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867775" y="115309650"/>
          <a:ext cx="1609725" cy="157162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741</xdr:row>
      <xdr:rowOff>0</xdr:rowOff>
    </xdr:from>
    <xdr:to>
      <xdr:col>9</xdr:col>
      <xdr:colOff>517562</xdr:colOff>
      <xdr:row>745</xdr:row>
      <xdr:rowOff>85724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4B131881-DF35-46F2-AE66-88D26D395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972301" y="135169275"/>
          <a:ext cx="2413036" cy="8667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1038</xdr:row>
      <xdr:rowOff>0</xdr:rowOff>
    </xdr:from>
    <xdr:to>
      <xdr:col>7</xdr:col>
      <xdr:colOff>733425</xdr:colOff>
      <xdr:row>1042</xdr:row>
      <xdr:rowOff>47625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AC8BDAA6-CA19-4B26-85D6-64F6793AD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972300" y="197881875"/>
          <a:ext cx="733425" cy="10001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1038</xdr:row>
      <xdr:rowOff>0</xdr:rowOff>
    </xdr:from>
    <xdr:to>
      <xdr:col>9</xdr:col>
      <xdr:colOff>0</xdr:colOff>
      <xdr:row>1042</xdr:row>
      <xdr:rowOff>9525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10BE8112-0D3A-49DC-B1C0-EFD490399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734300" y="197881875"/>
          <a:ext cx="1133475" cy="9620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1031</xdr:row>
      <xdr:rowOff>0</xdr:rowOff>
    </xdr:from>
    <xdr:to>
      <xdr:col>7</xdr:col>
      <xdr:colOff>704850</xdr:colOff>
      <xdr:row>1036</xdr:row>
      <xdr:rowOff>133351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22530871-26DE-401C-85FB-2BB29F15D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972300" y="196491225"/>
          <a:ext cx="704850" cy="11239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1031</xdr:row>
      <xdr:rowOff>1</xdr:rowOff>
    </xdr:from>
    <xdr:to>
      <xdr:col>9</xdr:col>
      <xdr:colOff>561975</xdr:colOff>
      <xdr:row>1036</xdr:row>
      <xdr:rowOff>190502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96B01FBA-07A6-4863-B977-FCB110341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734300" y="196491226"/>
          <a:ext cx="1695450" cy="11811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1031</xdr:row>
      <xdr:rowOff>0</xdr:rowOff>
    </xdr:from>
    <xdr:to>
      <xdr:col>10</xdr:col>
      <xdr:colOff>714375</xdr:colOff>
      <xdr:row>1036</xdr:row>
      <xdr:rowOff>57151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65549D0C-1712-4F05-851F-6ACFC2CB0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629775" y="196491225"/>
          <a:ext cx="714375" cy="10477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557</xdr:row>
      <xdr:rowOff>1</xdr:rowOff>
    </xdr:from>
    <xdr:to>
      <xdr:col>8</xdr:col>
      <xdr:colOff>85725</xdr:colOff>
      <xdr:row>561</xdr:row>
      <xdr:rowOff>266702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18106354-C1E4-47C3-AAB9-56C3041AA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972300" y="99621976"/>
          <a:ext cx="847725" cy="1638300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1305</xdr:row>
      <xdr:rowOff>0</xdr:rowOff>
    </xdr:from>
    <xdr:ext cx="640773" cy="1021773"/>
    <xdr:pic>
      <xdr:nvPicPr>
        <xdr:cNvPr id="74" name="Imagen 73">
          <a:extLst>
            <a:ext uri="{FF2B5EF4-FFF2-40B4-BE49-F238E27FC236}">
              <a16:creationId xmlns:a16="http://schemas.microsoft.com/office/drawing/2014/main" id="{407C62F4-52C0-4E40-9CA5-69FF1E6FD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972300" y="262366125"/>
          <a:ext cx="640773" cy="1021773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1305</xdr:row>
      <xdr:rowOff>0</xdr:rowOff>
    </xdr:from>
    <xdr:ext cx="1695450" cy="1181100"/>
    <xdr:pic>
      <xdr:nvPicPr>
        <xdr:cNvPr id="75" name="Imagen 74">
          <a:extLst>
            <a:ext uri="{FF2B5EF4-FFF2-40B4-BE49-F238E27FC236}">
              <a16:creationId xmlns:a16="http://schemas.microsoft.com/office/drawing/2014/main" id="{DDDD38E4-2951-46EB-9D0C-7E96F0882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734300" y="262366125"/>
          <a:ext cx="1695450" cy="1181100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1305</xdr:row>
      <xdr:rowOff>0</xdr:rowOff>
    </xdr:from>
    <xdr:ext cx="714375" cy="1047750"/>
    <xdr:pic>
      <xdr:nvPicPr>
        <xdr:cNvPr id="76" name="Imagen 75">
          <a:extLst>
            <a:ext uri="{FF2B5EF4-FFF2-40B4-BE49-F238E27FC236}">
              <a16:creationId xmlns:a16="http://schemas.microsoft.com/office/drawing/2014/main" id="{F02FAC66-EB58-4620-8E88-209E9A979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629775" y="262366125"/>
          <a:ext cx="714375" cy="104775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1312</xdr:row>
      <xdr:rowOff>0</xdr:rowOff>
    </xdr:from>
    <xdr:ext cx="733425" cy="1000125"/>
    <xdr:pic>
      <xdr:nvPicPr>
        <xdr:cNvPr id="77" name="Imagen 76">
          <a:extLst>
            <a:ext uri="{FF2B5EF4-FFF2-40B4-BE49-F238E27FC236}">
              <a16:creationId xmlns:a16="http://schemas.microsoft.com/office/drawing/2014/main" id="{14E5743C-F951-4538-ABF8-90CA58481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972300" y="263947275"/>
          <a:ext cx="733425" cy="100012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1312</xdr:row>
      <xdr:rowOff>0</xdr:rowOff>
    </xdr:from>
    <xdr:ext cx="1133475" cy="962025"/>
    <xdr:pic>
      <xdr:nvPicPr>
        <xdr:cNvPr id="78" name="Imagen 77">
          <a:extLst>
            <a:ext uri="{FF2B5EF4-FFF2-40B4-BE49-F238E27FC236}">
              <a16:creationId xmlns:a16="http://schemas.microsoft.com/office/drawing/2014/main" id="{8B9601F9-D789-4DC5-8B73-9D0EBAB13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734300" y="263947275"/>
          <a:ext cx="1133475" cy="962025"/>
        </a:xfrm>
        <a:prstGeom prst="rect">
          <a:avLst/>
        </a:prstGeom>
      </xdr:spPr>
    </xdr:pic>
    <xdr:clientData/>
  </xdr:oneCellAnchor>
  <xdr:twoCellAnchor editAs="oneCell">
    <xdr:from>
      <xdr:col>8</xdr:col>
      <xdr:colOff>1</xdr:colOff>
      <xdr:row>1266</xdr:row>
      <xdr:rowOff>0</xdr:rowOff>
    </xdr:from>
    <xdr:to>
      <xdr:col>11</xdr:col>
      <xdr:colOff>9526</xdr:colOff>
      <xdr:row>1270</xdr:row>
      <xdr:rowOff>66797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B96EB648-F4A1-480B-86AE-330B76022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7734301" y="247173750"/>
          <a:ext cx="2667000" cy="8668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980</xdr:row>
      <xdr:rowOff>0</xdr:rowOff>
    </xdr:from>
    <xdr:to>
      <xdr:col>11</xdr:col>
      <xdr:colOff>9525</xdr:colOff>
      <xdr:row>980</xdr:row>
      <xdr:rowOff>866896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69DDF009-3A86-4EAC-99CA-7A691DCF7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7734300" y="183213375"/>
          <a:ext cx="2667000" cy="86689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572</xdr:row>
      <xdr:rowOff>0</xdr:rowOff>
    </xdr:from>
    <xdr:to>
      <xdr:col>8</xdr:col>
      <xdr:colOff>714375</xdr:colOff>
      <xdr:row>575</xdr:row>
      <xdr:rowOff>57150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3EF922B5-9FD5-4C3A-92BF-EA3A0ABE2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6972300" y="104089200"/>
          <a:ext cx="1476375" cy="9048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580</xdr:row>
      <xdr:rowOff>0</xdr:rowOff>
    </xdr:from>
    <xdr:to>
      <xdr:col>10</xdr:col>
      <xdr:colOff>228600</xdr:colOff>
      <xdr:row>585</xdr:row>
      <xdr:rowOff>152401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3F823B57-D57D-495F-AFA7-AA970C05E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972300" y="105918000"/>
          <a:ext cx="2886075" cy="13239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572</xdr:row>
      <xdr:rowOff>0</xdr:rowOff>
    </xdr:from>
    <xdr:to>
      <xdr:col>10</xdr:col>
      <xdr:colOff>447675</xdr:colOff>
      <xdr:row>577</xdr:row>
      <xdr:rowOff>57149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120DB67D-2E59-4516-921B-0526F61C0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867775" y="104089200"/>
          <a:ext cx="1209675" cy="1304925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60</xdr:row>
      <xdr:rowOff>0</xdr:rowOff>
    </xdr:from>
    <xdr:to>
      <xdr:col>12</xdr:col>
      <xdr:colOff>95250</xdr:colOff>
      <xdr:row>65</xdr:row>
      <xdr:rowOff>200025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9BD6A36E-DC2C-41EA-91D7-D17B11B59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734301" y="13325475"/>
          <a:ext cx="3514724" cy="13906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229</xdr:row>
      <xdr:rowOff>1</xdr:rowOff>
    </xdr:from>
    <xdr:to>
      <xdr:col>8</xdr:col>
      <xdr:colOff>847725</xdr:colOff>
      <xdr:row>236</xdr:row>
      <xdr:rowOff>180976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80C756CB-BDF4-41E1-BF9C-570DFA320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734300" y="52111276"/>
          <a:ext cx="847725" cy="18097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231</xdr:row>
      <xdr:rowOff>0</xdr:rowOff>
    </xdr:from>
    <xdr:to>
      <xdr:col>12</xdr:col>
      <xdr:colOff>400050</xdr:colOff>
      <xdr:row>234</xdr:row>
      <xdr:rowOff>66675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6E4FA483-2BBD-42FB-9D7E-D3C566261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867775" y="52511325"/>
          <a:ext cx="2686050" cy="876300"/>
        </a:xfrm>
        <a:prstGeom prst="rect">
          <a:avLst/>
        </a:prstGeom>
      </xdr:spPr>
    </xdr:pic>
    <xdr:clientData/>
  </xdr:twoCellAnchor>
  <xdr:oneCellAnchor>
    <xdr:from>
      <xdr:col>9</xdr:col>
      <xdr:colOff>1</xdr:colOff>
      <xdr:row>690</xdr:row>
      <xdr:rowOff>1</xdr:rowOff>
    </xdr:from>
    <xdr:ext cx="1695450" cy="1047750"/>
    <xdr:pic>
      <xdr:nvPicPr>
        <xdr:cNvPr id="9" name="Imagen 8">
          <a:extLst>
            <a:ext uri="{FF2B5EF4-FFF2-40B4-BE49-F238E27FC236}">
              <a16:creationId xmlns:a16="http://schemas.microsoft.com/office/drawing/2014/main" id="{5A7A5CBD-795D-4AD2-B55C-C14219C5B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867776" y="124434601"/>
          <a:ext cx="1695450" cy="104775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690</xdr:row>
      <xdr:rowOff>0</xdr:rowOff>
    </xdr:from>
    <xdr:ext cx="1238250" cy="1400175"/>
    <xdr:pic>
      <xdr:nvPicPr>
        <xdr:cNvPr id="28" name="Imagen 27">
          <a:extLst>
            <a:ext uri="{FF2B5EF4-FFF2-40B4-BE49-F238E27FC236}">
              <a16:creationId xmlns:a16="http://schemas.microsoft.com/office/drawing/2014/main" id="{2DEB4D5A-126F-4A50-92C6-97994AC2F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972300" y="124434600"/>
          <a:ext cx="1238250" cy="1400175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683</xdr:row>
      <xdr:rowOff>1</xdr:rowOff>
    </xdr:from>
    <xdr:ext cx="1228725" cy="1162050"/>
    <xdr:pic>
      <xdr:nvPicPr>
        <xdr:cNvPr id="29" name="Imagen 28">
          <a:extLst>
            <a:ext uri="{FF2B5EF4-FFF2-40B4-BE49-F238E27FC236}">
              <a16:creationId xmlns:a16="http://schemas.microsoft.com/office/drawing/2014/main" id="{308FD6E1-0CBA-498E-9E4D-665ABDD4B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972300" y="123053476"/>
          <a:ext cx="1228725" cy="1162050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786</xdr:row>
      <xdr:rowOff>0</xdr:rowOff>
    </xdr:from>
    <xdr:ext cx="1276350" cy="1676400"/>
    <xdr:pic>
      <xdr:nvPicPr>
        <xdr:cNvPr id="62" name="Imagen 61">
          <a:extLst>
            <a:ext uri="{FF2B5EF4-FFF2-40B4-BE49-F238E27FC236}">
              <a16:creationId xmlns:a16="http://schemas.microsoft.com/office/drawing/2014/main" id="{A7049D58-B1B5-45FC-A864-24FD64110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72301" y="145332450"/>
          <a:ext cx="1276350" cy="1676400"/>
        </a:xfrm>
        <a:prstGeom prst="rect">
          <a:avLst/>
        </a:prstGeom>
      </xdr:spPr>
    </xdr:pic>
    <xdr:clientData/>
  </xdr:oneCellAnchor>
  <xdr:oneCellAnchor>
    <xdr:from>
      <xdr:col>9</xdr:col>
      <xdr:colOff>2</xdr:colOff>
      <xdr:row>786</xdr:row>
      <xdr:rowOff>1</xdr:rowOff>
    </xdr:from>
    <xdr:ext cx="1304924" cy="857250"/>
    <xdr:pic>
      <xdr:nvPicPr>
        <xdr:cNvPr id="64" name="Imagen 63">
          <a:extLst>
            <a:ext uri="{FF2B5EF4-FFF2-40B4-BE49-F238E27FC236}">
              <a16:creationId xmlns:a16="http://schemas.microsoft.com/office/drawing/2014/main" id="{B3BCE378-690A-4938-8101-E407EAB15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867777" y="145332451"/>
          <a:ext cx="1304924" cy="857250"/>
        </a:xfrm>
        <a:prstGeom prst="rect">
          <a:avLst/>
        </a:prstGeom>
      </xdr:spPr>
    </xdr:pic>
    <xdr:clientData/>
  </xdr:oneCellAnchor>
  <xdr:twoCellAnchor editAs="oneCell">
    <xdr:from>
      <xdr:col>6</xdr:col>
      <xdr:colOff>268941</xdr:colOff>
      <xdr:row>429</xdr:row>
      <xdr:rowOff>100853</xdr:rowOff>
    </xdr:from>
    <xdr:to>
      <xdr:col>12</xdr:col>
      <xdr:colOff>194734</xdr:colOff>
      <xdr:row>437</xdr:row>
      <xdr:rowOff>48260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941B8ECF-A8D2-452E-B33D-76100E580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488206" y="92067529"/>
          <a:ext cx="4867587" cy="1549848"/>
        </a:xfrm>
        <a:prstGeom prst="rect">
          <a:avLst/>
        </a:prstGeom>
      </xdr:spPr>
    </xdr:pic>
    <xdr:clientData/>
  </xdr:twoCellAnchor>
  <xdr:twoCellAnchor editAs="oneCell">
    <xdr:from>
      <xdr:col>6</xdr:col>
      <xdr:colOff>481853</xdr:colOff>
      <xdr:row>451</xdr:row>
      <xdr:rowOff>1</xdr:rowOff>
    </xdr:from>
    <xdr:to>
      <xdr:col>12</xdr:col>
      <xdr:colOff>129682</xdr:colOff>
      <xdr:row>457</xdr:row>
      <xdr:rowOff>128335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CF3DAF77-7381-48FD-931B-24BEF45E9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701118" y="97132589"/>
          <a:ext cx="4589623" cy="1327363"/>
        </a:xfrm>
        <a:prstGeom prst="rect">
          <a:avLst/>
        </a:prstGeom>
      </xdr:spPr>
    </xdr:pic>
    <xdr:clientData/>
  </xdr:twoCellAnchor>
  <xdr:twoCellAnchor editAs="oneCell">
    <xdr:from>
      <xdr:col>7</xdr:col>
      <xdr:colOff>190499</xdr:colOff>
      <xdr:row>470</xdr:row>
      <xdr:rowOff>44823</xdr:rowOff>
    </xdr:from>
    <xdr:to>
      <xdr:col>10</xdr:col>
      <xdr:colOff>192884</xdr:colOff>
      <xdr:row>474</xdr:row>
      <xdr:rowOff>131269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12E2CED9-9E41-D571-7C1B-96667352F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171764" y="108898764"/>
          <a:ext cx="2658179" cy="10725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156884</xdr:colOff>
      <xdr:row>0</xdr:row>
      <xdr:rowOff>33627</xdr:rowOff>
    </xdr:from>
    <xdr:to>
      <xdr:col>1</xdr:col>
      <xdr:colOff>428717</xdr:colOff>
      <xdr:row>3</xdr:row>
      <xdr:rowOff>166709</xdr:rowOff>
    </xdr:to>
    <xdr:pic>
      <xdr:nvPicPr>
        <xdr:cNvPr id="4" name="Imagen 3" descr="Escudo Rama Judicial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884" y="33627"/>
          <a:ext cx="683429" cy="672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302559</xdr:colOff>
      <xdr:row>0</xdr:row>
      <xdr:rowOff>33616</xdr:rowOff>
    </xdr:from>
    <xdr:to>
      <xdr:col>5</xdr:col>
      <xdr:colOff>999626</xdr:colOff>
      <xdr:row>4</xdr:row>
      <xdr:rowOff>5704</xdr:rowOff>
    </xdr:to>
    <xdr:pic>
      <xdr:nvPicPr>
        <xdr:cNvPr id="5" name="Imagen 4" descr="Presidencia de la Rep�blica de Colombi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208059" y="33616"/>
          <a:ext cx="700088" cy="69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156884</xdr:colOff>
      <xdr:row>0</xdr:row>
      <xdr:rowOff>33627</xdr:rowOff>
    </xdr:from>
    <xdr:ext cx="689221" cy="678897"/>
    <xdr:pic>
      <xdr:nvPicPr>
        <xdr:cNvPr id="2" name="Imagen 1" descr="Escudo Rama Judicial">
          <a:extLst>
            <a:ext uri="{FF2B5EF4-FFF2-40B4-BE49-F238E27FC236}">
              <a16:creationId xmlns:a16="http://schemas.microsoft.com/office/drawing/2014/main" id="{F5CD1720-B859-4E93-939E-B4629B831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884" y="33627"/>
          <a:ext cx="689221" cy="678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302559</xdr:colOff>
      <xdr:row>0</xdr:row>
      <xdr:rowOff>33616</xdr:rowOff>
    </xdr:from>
    <xdr:ext cx="697067" cy="699841"/>
    <xdr:pic>
      <xdr:nvPicPr>
        <xdr:cNvPr id="3" name="Imagen 2" descr="Presidencia de la Rep�blica de Colombia">
          <a:extLst>
            <a:ext uri="{FF2B5EF4-FFF2-40B4-BE49-F238E27FC236}">
              <a16:creationId xmlns:a16="http://schemas.microsoft.com/office/drawing/2014/main" id="{D4A1636B-1087-4197-B660-C3989B2C5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12559" y="33616"/>
          <a:ext cx="697067" cy="699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156884</xdr:colOff>
      <xdr:row>0</xdr:row>
      <xdr:rowOff>33627</xdr:rowOff>
    </xdr:from>
    <xdr:ext cx="689221" cy="678897"/>
    <xdr:pic>
      <xdr:nvPicPr>
        <xdr:cNvPr id="2" name="Imagen 1" descr="Escudo Rama Judicial">
          <a:extLst>
            <a:ext uri="{FF2B5EF4-FFF2-40B4-BE49-F238E27FC236}">
              <a16:creationId xmlns:a16="http://schemas.microsoft.com/office/drawing/2014/main" id="{6F1041CF-7289-43AB-B23D-DD32269D3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884" y="33627"/>
          <a:ext cx="689221" cy="678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302559</xdr:colOff>
      <xdr:row>0</xdr:row>
      <xdr:rowOff>33616</xdr:rowOff>
    </xdr:from>
    <xdr:ext cx="697067" cy="699841"/>
    <xdr:pic>
      <xdr:nvPicPr>
        <xdr:cNvPr id="3" name="Imagen 2" descr="Presidencia de la Rep�blica de Colombia">
          <a:extLst>
            <a:ext uri="{FF2B5EF4-FFF2-40B4-BE49-F238E27FC236}">
              <a16:creationId xmlns:a16="http://schemas.microsoft.com/office/drawing/2014/main" id="{B4DE9676-8323-44B3-82F8-168256C87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12559" y="33616"/>
          <a:ext cx="697067" cy="699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156884</xdr:colOff>
      <xdr:row>0</xdr:row>
      <xdr:rowOff>33627</xdr:rowOff>
    </xdr:from>
    <xdr:ext cx="689221" cy="678897"/>
    <xdr:pic>
      <xdr:nvPicPr>
        <xdr:cNvPr id="2" name="Imagen 1" descr="Escudo Rama Judicial">
          <a:extLst>
            <a:ext uri="{FF2B5EF4-FFF2-40B4-BE49-F238E27FC236}">
              <a16:creationId xmlns:a16="http://schemas.microsoft.com/office/drawing/2014/main" id="{1E55CED8-B829-4125-BF0E-2CF8AA919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884" y="33627"/>
          <a:ext cx="689221" cy="678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302559</xdr:colOff>
      <xdr:row>0</xdr:row>
      <xdr:rowOff>33616</xdr:rowOff>
    </xdr:from>
    <xdr:ext cx="697067" cy="699841"/>
    <xdr:pic>
      <xdr:nvPicPr>
        <xdr:cNvPr id="3" name="Imagen 2" descr="Presidencia de la Rep�blica de Colombia">
          <a:extLst>
            <a:ext uri="{FF2B5EF4-FFF2-40B4-BE49-F238E27FC236}">
              <a16:creationId xmlns:a16="http://schemas.microsoft.com/office/drawing/2014/main" id="{EDC2C45D-1D1F-482B-BCA8-761AD46A4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40934" y="33616"/>
          <a:ext cx="697067" cy="699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156884</xdr:colOff>
      <xdr:row>0</xdr:row>
      <xdr:rowOff>33627</xdr:rowOff>
    </xdr:from>
    <xdr:to>
      <xdr:col>1</xdr:col>
      <xdr:colOff>428717</xdr:colOff>
      <xdr:row>3</xdr:row>
      <xdr:rowOff>166709</xdr:rowOff>
    </xdr:to>
    <xdr:pic>
      <xdr:nvPicPr>
        <xdr:cNvPr id="2" name="Imagen 1" descr="Escudo Rama Judicial">
          <a:extLst>
            <a:ext uri="{FF2B5EF4-FFF2-40B4-BE49-F238E27FC236}">
              <a16:creationId xmlns:a16="http://schemas.microsoft.com/office/drawing/2014/main" id="{AFD9BD60-C2AE-4DDB-B9FD-A178842D4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884" y="33627"/>
          <a:ext cx="690933" cy="676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302559</xdr:colOff>
      <xdr:row>0</xdr:row>
      <xdr:rowOff>33616</xdr:rowOff>
    </xdr:from>
    <xdr:to>
      <xdr:col>5</xdr:col>
      <xdr:colOff>999626</xdr:colOff>
      <xdr:row>4</xdr:row>
      <xdr:rowOff>5704</xdr:rowOff>
    </xdr:to>
    <xdr:pic>
      <xdr:nvPicPr>
        <xdr:cNvPr id="3" name="Imagen 2" descr="Presidencia de la Rep�blica de Colombia">
          <a:extLst>
            <a:ext uri="{FF2B5EF4-FFF2-40B4-BE49-F238E27FC236}">
              <a16:creationId xmlns:a16="http://schemas.microsoft.com/office/drawing/2014/main" id="{D93281AE-6572-48FE-AF47-954E51091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427259" y="33616"/>
          <a:ext cx="697067" cy="695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156884</xdr:colOff>
      <xdr:row>0</xdr:row>
      <xdr:rowOff>33627</xdr:rowOff>
    </xdr:from>
    <xdr:to>
      <xdr:col>1</xdr:col>
      <xdr:colOff>428717</xdr:colOff>
      <xdr:row>3</xdr:row>
      <xdr:rowOff>166709</xdr:rowOff>
    </xdr:to>
    <xdr:pic>
      <xdr:nvPicPr>
        <xdr:cNvPr id="2" name="Imagen 1" descr="Escudo Rama Judicial">
          <a:extLst>
            <a:ext uri="{FF2B5EF4-FFF2-40B4-BE49-F238E27FC236}">
              <a16:creationId xmlns:a16="http://schemas.microsoft.com/office/drawing/2014/main" id="{CE17194C-3124-44B7-BB74-BA0893AC9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884" y="33627"/>
          <a:ext cx="690933" cy="676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302559</xdr:colOff>
      <xdr:row>0</xdr:row>
      <xdr:rowOff>33616</xdr:rowOff>
    </xdr:from>
    <xdr:to>
      <xdr:col>5</xdr:col>
      <xdr:colOff>999626</xdr:colOff>
      <xdr:row>4</xdr:row>
      <xdr:rowOff>5704</xdr:rowOff>
    </xdr:to>
    <xdr:pic>
      <xdr:nvPicPr>
        <xdr:cNvPr id="3" name="Imagen 2" descr="Presidencia de la Rep�blica de Colombia">
          <a:extLst>
            <a:ext uri="{FF2B5EF4-FFF2-40B4-BE49-F238E27FC236}">
              <a16:creationId xmlns:a16="http://schemas.microsoft.com/office/drawing/2014/main" id="{71AFDEAB-A1E6-45D6-A716-3AE111E69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13009" y="33616"/>
          <a:ext cx="697067" cy="695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156884</xdr:colOff>
      <xdr:row>0</xdr:row>
      <xdr:rowOff>33627</xdr:rowOff>
    </xdr:from>
    <xdr:to>
      <xdr:col>1</xdr:col>
      <xdr:colOff>428717</xdr:colOff>
      <xdr:row>3</xdr:row>
      <xdr:rowOff>166709</xdr:rowOff>
    </xdr:to>
    <xdr:pic>
      <xdr:nvPicPr>
        <xdr:cNvPr id="2" name="Imagen 1" descr="Escudo Rama Judicial">
          <a:extLst>
            <a:ext uri="{FF2B5EF4-FFF2-40B4-BE49-F238E27FC236}">
              <a16:creationId xmlns:a16="http://schemas.microsoft.com/office/drawing/2014/main" id="{6AEC765A-ADFF-4BBC-9A33-3796AECE7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884" y="33627"/>
          <a:ext cx="690933" cy="676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302559</xdr:colOff>
      <xdr:row>0</xdr:row>
      <xdr:rowOff>33616</xdr:rowOff>
    </xdr:from>
    <xdr:to>
      <xdr:col>5</xdr:col>
      <xdr:colOff>999626</xdr:colOff>
      <xdr:row>4</xdr:row>
      <xdr:rowOff>5704</xdr:rowOff>
    </xdr:to>
    <xdr:pic>
      <xdr:nvPicPr>
        <xdr:cNvPr id="3" name="Imagen 2" descr="Presidencia de la Rep�blica de Colombia">
          <a:extLst>
            <a:ext uri="{FF2B5EF4-FFF2-40B4-BE49-F238E27FC236}">
              <a16:creationId xmlns:a16="http://schemas.microsoft.com/office/drawing/2014/main" id="{2396991F-F195-4E6A-BEB8-EAB6283AE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89209" y="33616"/>
          <a:ext cx="697067" cy="695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@HIDRINCO%20SAS\PROYECTOS\2017\IHC-ARA-GACHANCIPA\LatAm%20DPL%202017%20v2%20-%20Hidrinco%20-%20updated%205_ARA%20Gachancipa%20-%20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PL"/>
      <sheetName val="Information"/>
      <sheetName val="Revision History"/>
      <sheetName val="Hoja1"/>
      <sheetName val="Hoja2"/>
    </sheetNames>
    <sheetDataSet>
      <sheetData sheetId="0"/>
      <sheetData sheetId="1">
        <row r="2">
          <cell r="B2" t="str">
            <v>1.May.2017</v>
          </cell>
        </row>
      </sheetData>
      <sheetData sheetId="2"/>
      <sheetData sheetId="3">
        <row r="1">
          <cell r="D1" t="str">
            <v>Civil/Commercial End-Use</v>
          </cell>
        </row>
        <row r="2">
          <cell r="D2" t="str">
            <v>Military/Defence End-Use</v>
          </cell>
        </row>
        <row r="3">
          <cell r="D3" t="str">
            <v>Nuclear End-Use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300AE-AA45-405D-A053-5B13517AABCF}">
  <dimension ref="A1:V1326"/>
  <sheetViews>
    <sheetView topLeftCell="A459" zoomScale="85" zoomScaleNormal="85" workbookViewId="0">
      <selection activeCell="D474" sqref="D474"/>
    </sheetView>
  </sheetViews>
  <sheetFormatPr baseColWidth="10" defaultRowHeight="15" x14ac:dyDescent="0.25"/>
  <cols>
    <col min="1" max="1" width="12.42578125" customWidth="1"/>
    <col min="2" max="2" width="27.85546875" customWidth="1"/>
    <col min="3" max="3" width="11.5703125" customWidth="1"/>
    <col min="4" max="4" width="10.28515625" customWidth="1"/>
    <col min="5" max="5" width="12.42578125" bestFit="1" customWidth="1"/>
    <col min="6" max="6" width="18.5703125" customWidth="1"/>
    <col min="9" max="9" width="17" customWidth="1"/>
    <col min="13" max="13" width="22.28515625" customWidth="1"/>
    <col min="14" max="14" width="38" customWidth="1"/>
    <col min="17" max="17" width="16.5703125" customWidth="1"/>
    <col min="18" max="18" width="14.42578125" customWidth="1"/>
  </cols>
  <sheetData>
    <row r="1" spans="1:22" ht="15.75" thickBot="1" x14ac:dyDescent="0.3">
      <c r="P1" s="39"/>
      <c r="Q1" s="36"/>
      <c r="R1" s="37"/>
      <c r="S1" s="38"/>
      <c r="T1" s="37"/>
      <c r="U1" s="49"/>
    </row>
    <row r="2" spans="1:22" ht="30.75" customHeight="1" x14ac:dyDescent="0.25">
      <c r="A2" s="1" t="s">
        <v>47</v>
      </c>
      <c r="B2" s="355" t="s">
        <v>63</v>
      </c>
      <c r="C2" s="355"/>
      <c r="D2" s="355"/>
      <c r="E2" s="3"/>
      <c r="F2" s="5" t="s">
        <v>15</v>
      </c>
      <c r="H2" s="39"/>
      <c r="I2" s="36"/>
      <c r="J2" s="37"/>
      <c r="K2" s="38"/>
      <c r="L2" s="37"/>
      <c r="M2" s="49"/>
      <c r="O2" s="37"/>
      <c r="P2" s="39"/>
      <c r="Q2" s="50"/>
      <c r="R2" s="37"/>
      <c r="S2" s="38"/>
      <c r="T2" s="37"/>
      <c r="U2" s="37"/>
      <c r="V2" s="37"/>
    </row>
    <row r="3" spans="1:22" ht="15" customHeight="1" thickBot="1" x14ac:dyDescent="0.3">
      <c r="A3" s="70" t="s">
        <v>9</v>
      </c>
      <c r="B3" s="266">
        <v>1.1000000000000001</v>
      </c>
      <c r="C3" s="10"/>
      <c r="D3" s="11"/>
      <c r="E3" s="10"/>
      <c r="F3" s="99" t="s">
        <v>26</v>
      </c>
      <c r="G3" s="37"/>
      <c r="H3" s="37"/>
      <c r="I3" s="36"/>
      <c r="J3" s="37"/>
      <c r="K3" s="38"/>
      <c r="L3" s="37"/>
      <c r="M3" s="37"/>
      <c r="O3" s="39"/>
      <c r="P3" s="49"/>
      <c r="Q3" s="51"/>
      <c r="R3" s="49"/>
      <c r="S3" s="52"/>
      <c r="T3" s="49"/>
      <c r="U3" s="49"/>
      <c r="V3" s="37"/>
    </row>
    <row r="4" spans="1:22" ht="14.25" customHeight="1" thickBot="1" x14ac:dyDescent="0.3">
      <c r="A4" s="6"/>
      <c r="B4" s="36"/>
      <c r="C4" s="37"/>
      <c r="D4" s="38"/>
      <c r="E4" s="37"/>
      <c r="F4" s="7"/>
      <c r="G4" s="37"/>
      <c r="H4" s="37"/>
      <c r="I4" s="36"/>
      <c r="J4" s="37"/>
      <c r="K4" s="38"/>
      <c r="L4" s="37"/>
      <c r="M4" s="37"/>
      <c r="O4" s="49"/>
      <c r="P4" s="39"/>
      <c r="Q4" s="53"/>
      <c r="R4" s="39"/>
      <c r="S4" s="54"/>
      <c r="T4" s="39"/>
      <c r="U4" s="39"/>
      <c r="V4" s="37"/>
    </row>
    <row r="5" spans="1:22" ht="15.75" thickBot="1" x14ac:dyDescent="0.3">
      <c r="A5" s="33" t="s">
        <v>179</v>
      </c>
      <c r="B5" s="40" t="s">
        <v>47</v>
      </c>
      <c r="C5" s="34" t="s">
        <v>15</v>
      </c>
      <c r="D5" s="35" t="s">
        <v>16</v>
      </c>
      <c r="E5" s="34" t="s">
        <v>17</v>
      </c>
      <c r="F5" s="41" t="s">
        <v>18</v>
      </c>
      <c r="G5" s="37"/>
      <c r="H5" s="39"/>
      <c r="I5" s="53"/>
      <c r="J5" s="39"/>
      <c r="K5" s="54"/>
      <c r="L5" s="39"/>
      <c r="M5" s="39"/>
      <c r="O5" s="37"/>
      <c r="P5" s="55"/>
      <c r="Q5" s="56"/>
      <c r="R5" s="57"/>
      <c r="S5" s="58"/>
      <c r="T5" s="59"/>
      <c r="U5" s="59"/>
      <c r="V5" s="37"/>
    </row>
    <row r="6" spans="1:22" ht="15.75" thickBot="1" x14ac:dyDescent="0.3">
      <c r="A6" s="6"/>
      <c r="B6" s="36"/>
      <c r="C6" s="37"/>
      <c r="D6" s="38"/>
      <c r="E6" s="37"/>
      <c r="F6" s="7"/>
      <c r="G6" s="37"/>
      <c r="H6" s="55"/>
      <c r="I6" s="56"/>
      <c r="J6" s="57"/>
      <c r="K6" s="58"/>
      <c r="L6" s="59"/>
      <c r="M6" s="59"/>
      <c r="O6" s="39"/>
      <c r="P6" s="60"/>
      <c r="Q6" s="50"/>
      <c r="R6" s="61"/>
      <c r="S6" s="58"/>
      <c r="T6" s="59"/>
      <c r="U6" s="59"/>
      <c r="V6" s="37"/>
    </row>
    <row r="7" spans="1:22" ht="15.75" thickBot="1" x14ac:dyDescent="0.3">
      <c r="A7" s="1" t="s">
        <v>19</v>
      </c>
      <c r="B7" s="13"/>
      <c r="C7" s="14"/>
      <c r="D7" s="15"/>
      <c r="E7" s="14"/>
      <c r="F7" s="16"/>
      <c r="G7" s="37"/>
      <c r="H7" s="60"/>
      <c r="I7" s="50"/>
      <c r="J7" s="61"/>
      <c r="K7" s="58"/>
      <c r="L7" s="59"/>
      <c r="M7" s="59"/>
      <c r="O7" s="55"/>
      <c r="P7" s="37"/>
      <c r="Q7" s="36"/>
      <c r="R7" s="37"/>
      <c r="S7" s="38"/>
      <c r="T7" s="39"/>
      <c r="U7" s="59"/>
      <c r="V7" s="37"/>
    </row>
    <row r="8" spans="1:22" x14ac:dyDescent="0.25">
      <c r="A8" s="95"/>
      <c r="B8" s="96"/>
      <c r="C8" s="97"/>
      <c r="D8" s="20"/>
      <c r="E8" s="183"/>
      <c r="F8" s="184"/>
      <c r="G8" s="37"/>
      <c r="H8" s="37"/>
      <c r="I8" s="242">
        <f>1300000/30</f>
        <v>43333.333333333336</v>
      </c>
      <c r="J8" s="242">
        <f>I8*2</f>
        <v>86666.666666666672</v>
      </c>
      <c r="K8" s="38"/>
      <c r="L8" s="37"/>
      <c r="M8" s="37"/>
      <c r="O8" s="37"/>
      <c r="P8" s="39"/>
      <c r="Q8" s="53"/>
      <c r="R8" s="39"/>
      <c r="S8" s="54"/>
      <c r="T8" s="39"/>
      <c r="U8" s="39"/>
      <c r="V8" s="37"/>
    </row>
    <row r="9" spans="1:22" ht="29.25" customHeight="1" thickBot="1" x14ac:dyDescent="0.3">
      <c r="A9" s="23"/>
      <c r="B9" s="24" t="s">
        <v>30</v>
      </c>
      <c r="C9" s="25" t="s">
        <v>29</v>
      </c>
      <c r="D9" s="26">
        <v>0.11</v>
      </c>
      <c r="E9" s="181">
        <v>164667</v>
      </c>
      <c r="F9" s="186">
        <f>ROUND(D9*E9,)</f>
        <v>18113</v>
      </c>
      <c r="G9" s="37"/>
      <c r="H9" s="39"/>
      <c r="I9" s="242">
        <f>I8*1.9</f>
        <v>82333.333333333328</v>
      </c>
      <c r="J9" s="242">
        <f>I9*2</f>
        <v>164666.66666666666</v>
      </c>
      <c r="K9" s="54"/>
      <c r="L9" s="39"/>
      <c r="M9" s="39"/>
      <c r="O9" s="37"/>
      <c r="P9" s="55"/>
      <c r="Q9" s="56"/>
      <c r="R9" s="57"/>
      <c r="S9" s="58"/>
      <c r="T9" s="59"/>
      <c r="U9" s="59"/>
      <c r="V9" s="37"/>
    </row>
    <row r="10" spans="1:22" ht="15.75" thickBot="1" x14ac:dyDescent="0.3">
      <c r="A10" s="6"/>
      <c r="B10" s="36"/>
      <c r="C10" s="37"/>
      <c r="D10" s="38"/>
      <c r="E10" s="39" t="s">
        <v>20</v>
      </c>
      <c r="F10" s="187">
        <f>SUM(F9)</f>
        <v>18113</v>
      </c>
      <c r="G10" s="37"/>
      <c r="H10" s="55"/>
      <c r="I10" s="56"/>
      <c r="J10" s="57"/>
      <c r="K10" s="58"/>
      <c r="L10" s="59"/>
      <c r="M10" s="59"/>
      <c r="O10" s="39"/>
      <c r="P10" s="60"/>
      <c r="Q10" s="50"/>
      <c r="R10" s="61"/>
      <c r="S10" s="58"/>
      <c r="T10" s="59"/>
      <c r="U10" s="59"/>
      <c r="V10" s="37"/>
    </row>
    <row r="11" spans="1:22" ht="15.75" thickBot="1" x14ac:dyDescent="0.3">
      <c r="A11" s="6"/>
      <c r="B11" s="36"/>
      <c r="C11" s="37"/>
      <c r="D11" s="38"/>
      <c r="E11" s="37"/>
      <c r="F11" s="7"/>
      <c r="G11" s="37"/>
      <c r="H11" s="60"/>
      <c r="I11" s="50"/>
      <c r="J11" s="61"/>
      <c r="K11" s="58"/>
      <c r="L11" s="59"/>
      <c r="M11" s="59"/>
      <c r="O11" s="55"/>
      <c r="P11" s="37"/>
      <c r="Q11" s="36"/>
      <c r="R11" s="37"/>
      <c r="S11" s="38"/>
      <c r="T11" s="39"/>
      <c r="U11" s="59"/>
      <c r="V11" s="37"/>
    </row>
    <row r="12" spans="1:22" ht="15.75" thickBot="1" x14ac:dyDescent="0.3">
      <c r="A12" s="44" t="s">
        <v>21</v>
      </c>
      <c r="B12" s="45"/>
      <c r="C12" s="46"/>
      <c r="D12" s="47"/>
      <c r="E12" s="46"/>
      <c r="F12" s="48"/>
      <c r="G12" s="37"/>
      <c r="H12" s="37"/>
      <c r="I12" s="36"/>
      <c r="J12" s="37"/>
      <c r="K12" s="38"/>
      <c r="L12" s="39"/>
      <c r="M12" s="59"/>
      <c r="O12" s="60"/>
      <c r="P12" s="37"/>
      <c r="Q12" s="36"/>
      <c r="R12" s="37"/>
      <c r="S12" s="38"/>
      <c r="T12" s="37"/>
      <c r="U12" s="37"/>
      <c r="V12" s="37"/>
    </row>
    <row r="13" spans="1:22" x14ac:dyDescent="0.25">
      <c r="A13" s="17"/>
      <c r="B13" s="96" t="s">
        <v>31</v>
      </c>
      <c r="C13" s="97" t="s">
        <v>32</v>
      </c>
      <c r="D13" s="20">
        <v>1.4999999999999999E-2</v>
      </c>
      <c r="E13" s="183">
        <v>62433</v>
      </c>
      <c r="F13" s="184">
        <f>ROUND(D13*E13,)</f>
        <v>936</v>
      </c>
      <c r="G13" s="37"/>
      <c r="H13" s="37"/>
      <c r="I13" s="36"/>
      <c r="J13" s="37"/>
      <c r="K13" s="38"/>
      <c r="L13" s="37"/>
      <c r="M13" s="37"/>
      <c r="O13" s="37"/>
      <c r="P13" s="39"/>
      <c r="Q13" s="53"/>
      <c r="R13" s="39"/>
      <c r="S13" s="54"/>
      <c r="T13" s="39"/>
      <c r="U13" s="39"/>
      <c r="V13" s="37"/>
    </row>
    <row r="14" spans="1:22" ht="19.5" customHeight="1" x14ac:dyDescent="0.25">
      <c r="A14" s="92"/>
      <c r="B14" s="87" t="s">
        <v>211</v>
      </c>
      <c r="C14" s="88" t="s">
        <v>40</v>
      </c>
      <c r="D14" s="89">
        <v>0.1</v>
      </c>
      <c r="E14" s="182">
        <v>1200</v>
      </c>
      <c r="F14" s="188">
        <f>ROUND(D14*E14,)</f>
        <v>120</v>
      </c>
      <c r="G14" s="37"/>
      <c r="H14" s="37"/>
      <c r="I14" s="36"/>
      <c r="J14" s="37"/>
      <c r="K14" s="38"/>
      <c r="L14" s="37"/>
      <c r="M14" s="37"/>
      <c r="O14" s="37"/>
      <c r="P14" s="39"/>
      <c r="Q14" s="53"/>
      <c r="R14" s="39"/>
      <c r="S14" s="54"/>
      <c r="T14" s="39"/>
      <c r="U14" s="39"/>
      <c r="V14" s="37"/>
    </row>
    <row r="15" spans="1:22" x14ac:dyDescent="0.25">
      <c r="A15" s="91"/>
      <c r="B15" s="111" t="s">
        <v>36</v>
      </c>
      <c r="C15" s="114" t="s">
        <v>37</v>
      </c>
      <c r="D15" s="115">
        <v>0.3</v>
      </c>
      <c r="E15" s="180">
        <v>120</v>
      </c>
      <c r="F15" s="185">
        <f t="shared" ref="F15:F18" si="0">ROUND(D15*E15,)</f>
        <v>36</v>
      </c>
      <c r="G15" s="37"/>
      <c r="H15" s="37"/>
      <c r="I15" s="36"/>
      <c r="J15" s="37"/>
      <c r="K15" s="38"/>
      <c r="L15" s="37"/>
      <c r="M15" s="37"/>
      <c r="O15" s="37"/>
      <c r="P15" s="39"/>
      <c r="Q15" s="53"/>
      <c r="R15" s="39"/>
      <c r="S15" s="54"/>
      <c r="T15" s="39"/>
      <c r="U15" s="39"/>
      <c r="V15" s="37"/>
    </row>
    <row r="16" spans="1:22" x14ac:dyDescent="0.25">
      <c r="A16" s="91"/>
      <c r="B16" s="111" t="s">
        <v>180</v>
      </c>
      <c r="C16" s="114" t="s">
        <v>37</v>
      </c>
      <c r="D16" s="115">
        <v>0.1</v>
      </c>
      <c r="E16" s="180">
        <v>600</v>
      </c>
      <c r="F16" s="185">
        <f t="shared" si="0"/>
        <v>60</v>
      </c>
      <c r="G16" s="37"/>
      <c r="H16" s="37"/>
      <c r="I16" s="36"/>
      <c r="J16" s="37"/>
      <c r="K16" s="38"/>
      <c r="L16" s="37"/>
      <c r="M16" s="37"/>
      <c r="O16" s="37"/>
      <c r="P16" s="39"/>
      <c r="Q16" s="53"/>
      <c r="R16" s="39"/>
      <c r="S16" s="54"/>
      <c r="T16" s="39"/>
      <c r="U16" s="39"/>
      <c r="V16" s="37"/>
    </row>
    <row r="17" spans="1:22" ht="30" x14ac:dyDescent="0.25">
      <c r="A17" s="141"/>
      <c r="B17" s="236" t="s">
        <v>209</v>
      </c>
      <c r="C17" s="237" t="s">
        <v>37</v>
      </c>
      <c r="D17" s="123">
        <v>0.8</v>
      </c>
      <c r="E17" s="182">
        <v>1200</v>
      </c>
      <c r="F17" s="185">
        <f t="shared" si="0"/>
        <v>960</v>
      </c>
      <c r="G17" s="37"/>
      <c r="H17" s="37"/>
      <c r="I17" s="36"/>
      <c r="J17" s="37"/>
      <c r="K17" s="38"/>
      <c r="L17" s="37"/>
      <c r="M17" s="37"/>
      <c r="O17" s="37"/>
      <c r="P17" s="39"/>
      <c r="Q17" s="53"/>
      <c r="R17" s="39"/>
      <c r="S17" s="54"/>
      <c r="T17" s="39"/>
      <c r="U17" s="39"/>
      <c r="V17" s="37"/>
    </row>
    <row r="18" spans="1:22" ht="15.75" thickBot="1" x14ac:dyDescent="0.3">
      <c r="A18" s="30"/>
      <c r="B18" s="138" t="s">
        <v>34</v>
      </c>
      <c r="C18" s="139" t="s">
        <v>35</v>
      </c>
      <c r="D18" s="140">
        <v>1.5</v>
      </c>
      <c r="E18" s="181">
        <v>1700</v>
      </c>
      <c r="F18" s="186">
        <f t="shared" si="0"/>
        <v>2550</v>
      </c>
      <c r="G18" s="37"/>
      <c r="H18" s="39"/>
      <c r="I18" s="53"/>
      <c r="J18" s="39"/>
      <c r="K18" s="54"/>
      <c r="L18" s="39"/>
      <c r="M18" s="39"/>
      <c r="O18" s="37"/>
      <c r="P18" s="55"/>
      <c r="Q18" s="56"/>
      <c r="R18" s="57"/>
      <c r="S18" s="58"/>
      <c r="T18" s="59"/>
      <c r="U18" s="59"/>
      <c r="V18" s="37"/>
    </row>
    <row r="19" spans="1:22" ht="15.75" thickBot="1" x14ac:dyDescent="0.3">
      <c r="A19" s="6"/>
      <c r="B19" s="36"/>
      <c r="C19" s="37"/>
      <c r="D19" s="38"/>
      <c r="E19" s="39" t="s">
        <v>22</v>
      </c>
      <c r="F19" s="190">
        <f>F13+F18+F14+F16+F15+F17</f>
        <v>4662</v>
      </c>
      <c r="G19" s="37"/>
      <c r="H19" s="55"/>
      <c r="I19" s="56"/>
      <c r="J19" s="57"/>
      <c r="K19" s="58"/>
      <c r="L19" s="59"/>
      <c r="M19" s="59"/>
      <c r="O19" s="39"/>
      <c r="P19" s="55"/>
      <c r="Q19" s="56"/>
      <c r="R19" s="57"/>
      <c r="S19" s="58"/>
      <c r="T19" s="59"/>
      <c r="U19" s="59"/>
      <c r="V19" s="37"/>
    </row>
    <row r="20" spans="1:22" ht="15.75" thickBot="1" x14ac:dyDescent="0.3">
      <c r="A20" s="6"/>
      <c r="B20" s="36"/>
      <c r="C20" s="37"/>
      <c r="D20" s="38"/>
      <c r="E20" s="37"/>
      <c r="F20" s="7"/>
      <c r="G20" s="37"/>
      <c r="H20" s="55"/>
      <c r="I20" s="56"/>
      <c r="J20" s="57"/>
      <c r="K20" s="58"/>
      <c r="L20" s="59"/>
      <c r="M20" s="59"/>
      <c r="O20" s="55"/>
      <c r="P20" s="37"/>
      <c r="Q20" s="36"/>
      <c r="R20" s="37"/>
      <c r="S20" s="38"/>
      <c r="T20" s="39"/>
      <c r="U20" s="59"/>
      <c r="V20" s="37"/>
    </row>
    <row r="21" spans="1:22" ht="15.75" thickBot="1" x14ac:dyDescent="0.3">
      <c r="A21" s="1" t="s">
        <v>23</v>
      </c>
      <c r="B21" s="13"/>
      <c r="C21" s="14"/>
      <c r="D21" s="15"/>
      <c r="E21" s="14"/>
      <c r="F21" s="16"/>
      <c r="G21" s="37"/>
      <c r="H21" s="37"/>
      <c r="I21" s="36"/>
      <c r="J21" s="37"/>
      <c r="K21" s="38"/>
      <c r="L21" s="39"/>
      <c r="M21" s="59"/>
      <c r="O21" s="55"/>
      <c r="P21" s="37"/>
      <c r="Q21" s="36"/>
      <c r="R21" s="37"/>
      <c r="S21" s="38"/>
      <c r="T21" s="37"/>
      <c r="U21" s="37"/>
      <c r="V21" s="37"/>
    </row>
    <row r="22" spans="1:22" ht="17.25" customHeight="1" x14ac:dyDescent="0.25">
      <c r="A22" s="17"/>
      <c r="B22" s="18"/>
      <c r="C22" s="19"/>
      <c r="D22" s="20"/>
      <c r="E22" s="183"/>
      <c r="F22" s="184"/>
      <c r="G22" s="37"/>
      <c r="H22" s="37"/>
      <c r="I22" s="36"/>
      <c r="J22" s="37"/>
      <c r="K22" s="38"/>
      <c r="L22" s="37"/>
      <c r="M22" s="37"/>
      <c r="O22" s="37"/>
      <c r="P22" s="49"/>
      <c r="Q22" s="53"/>
      <c r="R22" s="49"/>
      <c r="S22" s="52"/>
      <c r="T22" s="49"/>
      <c r="U22" s="62"/>
      <c r="V22" s="37"/>
    </row>
    <row r="23" spans="1:22" ht="15.75" thickBot="1" x14ac:dyDescent="0.3">
      <c r="A23" s="30"/>
      <c r="B23" s="138"/>
      <c r="C23" s="139"/>
      <c r="D23" s="140"/>
      <c r="E23" s="181"/>
      <c r="F23" s="186"/>
      <c r="G23" s="37"/>
      <c r="H23" s="49"/>
      <c r="I23" s="53"/>
      <c r="J23" s="49"/>
      <c r="K23" s="52"/>
      <c r="L23" s="49"/>
      <c r="M23" s="62"/>
      <c r="O23" s="37"/>
      <c r="V23" s="37"/>
    </row>
    <row r="24" spans="1:22" ht="15.75" thickBot="1" x14ac:dyDescent="0.3">
      <c r="A24" s="6"/>
      <c r="B24" s="36"/>
      <c r="C24" s="37"/>
      <c r="D24" s="38"/>
      <c r="E24" s="39" t="s">
        <v>24</v>
      </c>
      <c r="F24" s="187">
        <f>F22+F23</f>
        <v>0</v>
      </c>
      <c r="G24" s="37"/>
      <c r="O24" s="49"/>
      <c r="P24" s="53"/>
      <c r="Q24" s="49"/>
      <c r="R24" s="52"/>
      <c r="S24" s="49"/>
      <c r="T24" s="62"/>
      <c r="U24" s="37"/>
      <c r="V24" s="37"/>
    </row>
    <row r="25" spans="1:22" ht="15.75" thickBot="1" x14ac:dyDescent="0.3">
      <c r="A25" s="6"/>
      <c r="B25" s="36"/>
      <c r="C25" s="37"/>
      <c r="D25" s="38"/>
      <c r="E25" s="37"/>
      <c r="F25" s="7"/>
      <c r="G25" s="37"/>
      <c r="O25" s="37"/>
      <c r="P25" s="37"/>
      <c r="Q25" s="37"/>
      <c r="R25" s="37"/>
      <c r="S25" s="37"/>
      <c r="T25" s="37"/>
      <c r="U25" s="37"/>
      <c r="V25" s="37"/>
    </row>
    <row r="26" spans="1:22" ht="15" customHeight="1" thickBot="1" x14ac:dyDescent="0.3">
      <c r="A26" s="69" t="s">
        <v>12</v>
      </c>
      <c r="B26" s="64" t="s">
        <v>25</v>
      </c>
      <c r="C26" s="65"/>
      <c r="D26" s="66"/>
      <c r="E26" s="67"/>
      <c r="F26" s="351">
        <f>+F24+F19+F10</f>
        <v>22775</v>
      </c>
      <c r="G26" s="37"/>
      <c r="H26" s="126"/>
    </row>
    <row r="27" spans="1:22" ht="15.75" thickBot="1" x14ac:dyDescent="0.3">
      <c r="A27" s="57"/>
      <c r="B27" s="56"/>
      <c r="C27" s="57"/>
      <c r="D27" s="68"/>
      <c r="E27" s="57"/>
      <c r="F27" s="59"/>
      <c r="G27" s="37"/>
    </row>
    <row r="28" spans="1:22" ht="30" customHeight="1" x14ac:dyDescent="0.25">
      <c r="A28" s="1" t="s">
        <v>47</v>
      </c>
      <c r="B28" s="356" t="s">
        <v>147</v>
      </c>
      <c r="C28" s="356"/>
      <c r="D28" s="356"/>
      <c r="E28" s="3"/>
      <c r="F28" s="5" t="s">
        <v>15</v>
      </c>
      <c r="G28" s="37"/>
      <c r="J28">
        <f>1.83*0.92</f>
        <v>1.6836000000000002</v>
      </c>
    </row>
    <row r="29" spans="1:22" ht="15.75" thickBot="1" x14ac:dyDescent="0.3">
      <c r="A29" s="70" t="s">
        <v>9</v>
      </c>
      <c r="B29" s="71">
        <v>1.2</v>
      </c>
      <c r="C29" s="10"/>
      <c r="D29" s="11"/>
      <c r="E29" s="10"/>
      <c r="F29" s="72" t="s">
        <v>26</v>
      </c>
      <c r="G29" s="37"/>
    </row>
    <row r="30" spans="1:22" ht="15.75" thickBot="1" x14ac:dyDescent="0.3">
      <c r="A30" s="8"/>
      <c r="B30" s="9"/>
      <c r="C30" s="10"/>
      <c r="D30" s="11"/>
      <c r="E30" s="10"/>
      <c r="F30" s="12"/>
      <c r="G30" s="37"/>
    </row>
    <row r="31" spans="1:22" ht="15.75" thickBot="1" x14ac:dyDescent="0.3">
      <c r="A31" s="33" t="s">
        <v>179</v>
      </c>
      <c r="B31" s="40" t="s">
        <v>47</v>
      </c>
      <c r="C31" s="34" t="s">
        <v>15</v>
      </c>
      <c r="D31" s="35" t="s">
        <v>16</v>
      </c>
      <c r="E31" s="34" t="s">
        <v>17</v>
      </c>
      <c r="F31" s="41" t="s">
        <v>18</v>
      </c>
    </row>
    <row r="32" spans="1:22" ht="15.75" thickBot="1" x14ac:dyDescent="0.3">
      <c r="A32" s="6"/>
      <c r="B32" s="36"/>
      <c r="C32" s="37"/>
      <c r="D32" s="38"/>
      <c r="E32" s="37"/>
      <c r="F32" s="7"/>
    </row>
    <row r="33" spans="1:6" ht="15.75" thickBot="1" x14ac:dyDescent="0.3">
      <c r="A33" s="1" t="s">
        <v>19</v>
      </c>
      <c r="B33" s="13"/>
      <c r="C33" s="14"/>
      <c r="D33" s="15"/>
      <c r="E33" s="14"/>
      <c r="F33" s="16"/>
    </row>
    <row r="34" spans="1:6" ht="30" x14ac:dyDescent="0.25">
      <c r="A34" s="241"/>
      <c r="B34" s="96" t="s">
        <v>30</v>
      </c>
      <c r="C34" s="97" t="s">
        <v>29</v>
      </c>
      <c r="D34" s="20">
        <v>7.0000000000000007E-2</v>
      </c>
      <c r="E34" s="183">
        <v>164667</v>
      </c>
      <c r="F34" s="184">
        <f>ROUND(D34*E34,)</f>
        <v>11527</v>
      </c>
    </row>
    <row r="35" spans="1:6" ht="23.25" customHeight="1" thickBot="1" x14ac:dyDescent="0.3">
      <c r="A35" s="77"/>
      <c r="B35" s="78" t="s">
        <v>98</v>
      </c>
      <c r="C35" s="79" t="s">
        <v>29</v>
      </c>
      <c r="D35" s="80">
        <v>0.05</v>
      </c>
      <c r="E35" s="192">
        <v>133000</v>
      </c>
      <c r="F35" s="189">
        <f>ROUND(D35*E35,)</f>
        <v>6650</v>
      </c>
    </row>
    <row r="36" spans="1:6" ht="15.75" thickBot="1" x14ac:dyDescent="0.3">
      <c r="A36" s="6"/>
      <c r="B36" s="36"/>
      <c r="C36" s="37"/>
      <c r="D36" s="38"/>
      <c r="E36" s="39" t="s">
        <v>20</v>
      </c>
      <c r="F36" s="187">
        <f>SUM(F34:F35)</f>
        <v>18177</v>
      </c>
    </row>
    <row r="37" spans="1:6" ht="15.75" thickBot="1" x14ac:dyDescent="0.3">
      <c r="A37" s="6"/>
      <c r="B37" s="36"/>
      <c r="C37" s="37"/>
      <c r="D37" s="38"/>
      <c r="E37" s="37"/>
      <c r="F37" s="7"/>
    </row>
    <row r="38" spans="1:6" ht="15.75" thickBot="1" x14ac:dyDescent="0.3">
      <c r="A38" s="1" t="s">
        <v>21</v>
      </c>
      <c r="B38" s="13"/>
      <c r="C38" s="14"/>
      <c r="D38" s="15"/>
      <c r="E38" s="14"/>
      <c r="F38" s="16"/>
    </row>
    <row r="39" spans="1:6" x14ac:dyDescent="0.25">
      <c r="A39" s="103"/>
      <c r="B39" s="96"/>
      <c r="C39" s="97"/>
      <c r="D39" s="20"/>
      <c r="E39" s="183"/>
      <c r="F39" s="184"/>
    </row>
    <row r="40" spans="1:6" ht="18" customHeight="1" x14ac:dyDescent="0.25">
      <c r="A40" s="122"/>
      <c r="B40" s="236" t="s">
        <v>211</v>
      </c>
      <c r="C40" s="237" t="s">
        <v>40</v>
      </c>
      <c r="D40" s="123">
        <v>0.3</v>
      </c>
      <c r="E40" s="182">
        <v>1200</v>
      </c>
      <c r="F40" s="188">
        <f t="shared" ref="F40:F44" si="1">ROUND(D40*E40,)</f>
        <v>360</v>
      </c>
    </row>
    <row r="41" spans="1:6" ht="18" customHeight="1" x14ac:dyDescent="0.25">
      <c r="A41" s="122"/>
      <c r="B41" s="111" t="s">
        <v>36</v>
      </c>
      <c r="C41" s="114" t="s">
        <v>37</v>
      </c>
      <c r="D41" s="115">
        <v>0.3</v>
      </c>
      <c r="E41" s="180">
        <v>120</v>
      </c>
      <c r="F41" s="185">
        <f t="shared" ref="F41" si="2">ROUND(D41*E41,)</f>
        <v>36</v>
      </c>
    </row>
    <row r="42" spans="1:6" x14ac:dyDescent="0.25">
      <c r="A42" s="108"/>
      <c r="B42" s="111" t="s">
        <v>181</v>
      </c>
      <c r="C42" s="114" t="s">
        <v>37</v>
      </c>
      <c r="D42" s="115">
        <v>0.1</v>
      </c>
      <c r="E42" s="180">
        <v>600</v>
      </c>
      <c r="F42" s="185">
        <f t="shared" si="1"/>
        <v>60</v>
      </c>
    </row>
    <row r="43" spans="1:6" ht="30" x14ac:dyDescent="0.25">
      <c r="A43" s="108"/>
      <c r="B43" s="236" t="s">
        <v>209</v>
      </c>
      <c r="C43" s="237" t="s">
        <v>37</v>
      </c>
      <c r="D43" s="123">
        <v>0.8</v>
      </c>
      <c r="E43" s="182">
        <v>1200</v>
      </c>
      <c r="F43" s="185">
        <f t="shared" si="1"/>
        <v>960</v>
      </c>
    </row>
    <row r="44" spans="1:6" ht="15.75" thickBot="1" x14ac:dyDescent="0.3">
      <c r="A44" s="30"/>
      <c r="B44" s="138" t="s">
        <v>34</v>
      </c>
      <c r="C44" s="139" t="s">
        <v>35</v>
      </c>
      <c r="D44" s="140">
        <v>1.5</v>
      </c>
      <c r="E44" s="181">
        <v>1700</v>
      </c>
      <c r="F44" s="186">
        <f t="shared" si="1"/>
        <v>2550</v>
      </c>
    </row>
    <row r="45" spans="1:6" ht="15.75" thickBot="1" x14ac:dyDescent="0.3">
      <c r="A45" s="6"/>
      <c r="B45" s="36"/>
      <c r="C45" s="37"/>
      <c r="D45" s="38"/>
      <c r="E45" s="39" t="s">
        <v>22</v>
      </c>
      <c r="F45" s="190">
        <f>SUM(F39:F44)</f>
        <v>3966</v>
      </c>
    </row>
    <row r="46" spans="1:6" ht="15.75" thickBot="1" x14ac:dyDescent="0.3">
      <c r="A46" s="6"/>
      <c r="B46" s="36"/>
      <c r="C46" s="37"/>
      <c r="D46" s="38"/>
      <c r="E46" s="37"/>
      <c r="F46" s="7"/>
    </row>
    <row r="47" spans="1:6" ht="15.75" thickBot="1" x14ac:dyDescent="0.3">
      <c r="A47" s="1" t="s">
        <v>23</v>
      </c>
      <c r="B47" s="13"/>
      <c r="C47" s="14"/>
      <c r="D47" s="15"/>
      <c r="E47" s="14"/>
      <c r="F47" s="16"/>
    </row>
    <row r="48" spans="1:6" x14ac:dyDescent="0.25">
      <c r="A48" s="17"/>
      <c r="B48" s="96" t="s">
        <v>99</v>
      </c>
      <c r="C48" s="97" t="s">
        <v>40</v>
      </c>
      <c r="D48" s="20">
        <v>3</v>
      </c>
      <c r="E48" s="21">
        <v>500</v>
      </c>
      <c r="F48" s="184">
        <f>ROUND(D48*E48,)</f>
        <v>1500</v>
      </c>
    </row>
    <row r="49" spans="1:18" x14ac:dyDescent="0.25">
      <c r="A49" s="91"/>
      <c r="B49" s="85" t="s">
        <v>97</v>
      </c>
      <c r="C49" s="86" t="s">
        <v>40</v>
      </c>
      <c r="D49" s="83">
        <v>2.7</v>
      </c>
      <c r="E49" s="180">
        <v>910</v>
      </c>
      <c r="F49" s="185">
        <f t="shared" ref="F49:F50" si="3">ROUND(D49*E49,)</f>
        <v>2457</v>
      </c>
    </row>
    <row r="50" spans="1:18" ht="15.75" thickBot="1" x14ac:dyDescent="0.3">
      <c r="A50" s="30"/>
      <c r="B50" s="24" t="s">
        <v>65</v>
      </c>
      <c r="C50" s="25" t="s">
        <v>26</v>
      </c>
      <c r="D50" s="26">
        <v>1</v>
      </c>
      <c r="E50" s="181">
        <v>21065</v>
      </c>
      <c r="F50" s="186">
        <f t="shared" si="3"/>
        <v>21065</v>
      </c>
    </row>
    <row r="51" spans="1:18" ht="15.75" thickBot="1" x14ac:dyDescent="0.3">
      <c r="A51" s="6"/>
      <c r="B51" s="36"/>
      <c r="C51" s="37"/>
      <c r="D51" s="38"/>
      <c r="E51" s="39" t="s">
        <v>24</v>
      </c>
      <c r="F51" s="187">
        <f>F48+F50+F49</f>
        <v>25022</v>
      </c>
    </row>
    <row r="52" spans="1:18" ht="15.75" thickBot="1" x14ac:dyDescent="0.3">
      <c r="A52" s="6"/>
      <c r="B52" s="36"/>
      <c r="C52" s="37"/>
      <c r="D52" s="38"/>
      <c r="E52" s="37"/>
      <c r="F52" s="7"/>
    </row>
    <row r="53" spans="1:18" ht="15.75" thickBot="1" x14ac:dyDescent="0.3">
      <c r="A53" s="69" t="s">
        <v>12</v>
      </c>
      <c r="B53" s="64" t="s">
        <v>25</v>
      </c>
      <c r="C53" s="65"/>
      <c r="D53" s="66"/>
      <c r="E53" s="67"/>
      <c r="F53" s="351">
        <f>+F51+F45+F36</f>
        <v>47165</v>
      </c>
      <c r="H53" s="126"/>
    </row>
    <row r="54" spans="1:18" ht="15.75" thickBot="1" x14ac:dyDescent="0.3">
      <c r="A54" s="37"/>
      <c r="B54" s="36"/>
      <c r="C54" s="37"/>
      <c r="D54" s="38"/>
      <c r="E54" s="37"/>
      <c r="F54" s="37"/>
    </row>
    <row r="55" spans="1:18" ht="26.25" customHeight="1" x14ac:dyDescent="0.25">
      <c r="A55" s="1" t="s">
        <v>47</v>
      </c>
      <c r="B55" s="356" t="s">
        <v>182</v>
      </c>
      <c r="C55" s="356"/>
      <c r="D55" s="356"/>
      <c r="E55" s="3"/>
      <c r="F55" s="5" t="s">
        <v>15</v>
      </c>
      <c r="L55" s="37"/>
      <c r="M55" s="37"/>
      <c r="N55" s="50"/>
      <c r="O55" s="37"/>
      <c r="P55" s="37"/>
      <c r="Q55" s="37"/>
      <c r="R55" s="57"/>
    </row>
    <row r="56" spans="1:18" ht="15.75" thickBot="1" x14ac:dyDescent="0.3">
      <c r="A56" s="70" t="s">
        <v>9</v>
      </c>
      <c r="B56" s="71">
        <v>1.3</v>
      </c>
      <c r="C56" s="10"/>
      <c r="D56" s="11"/>
      <c r="E56" s="10"/>
      <c r="F56" s="72" t="s">
        <v>40</v>
      </c>
      <c r="L56" s="37"/>
      <c r="M56" s="37"/>
      <c r="N56" s="36"/>
      <c r="O56" s="37"/>
      <c r="P56" s="37"/>
      <c r="Q56" s="37"/>
      <c r="R56" s="37"/>
    </row>
    <row r="57" spans="1:18" ht="15.75" thickBot="1" x14ac:dyDescent="0.3">
      <c r="A57" s="8"/>
      <c r="B57" s="9"/>
      <c r="C57" s="10"/>
      <c r="D57" s="11"/>
      <c r="E57" s="10"/>
      <c r="F57" s="12"/>
      <c r="L57" s="37"/>
      <c r="M57" s="39"/>
      <c r="N57" s="50"/>
      <c r="O57" s="37"/>
      <c r="P57" s="37"/>
      <c r="Q57" s="37"/>
      <c r="R57" s="37"/>
    </row>
    <row r="58" spans="1:18" ht="15.75" thickBot="1" x14ac:dyDescent="0.3">
      <c r="A58" s="33" t="s">
        <v>179</v>
      </c>
      <c r="B58" s="40" t="s">
        <v>47</v>
      </c>
      <c r="C58" s="34" t="s">
        <v>15</v>
      </c>
      <c r="D58" s="35" t="s">
        <v>16</v>
      </c>
      <c r="E58" s="34" t="s">
        <v>17</v>
      </c>
      <c r="F58" s="41" t="s">
        <v>18</v>
      </c>
      <c r="L58" s="37"/>
      <c r="M58" s="37"/>
      <c r="N58" s="36"/>
      <c r="O58" s="37"/>
      <c r="P58" s="37"/>
      <c r="Q58" s="37"/>
      <c r="R58" s="37"/>
    </row>
    <row r="59" spans="1:18" ht="15.75" thickBot="1" x14ac:dyDescent="0.3">
      <c r="A59" s="6"/>
      <c r="B59" s="36"/>
      <c r="C59" s="37"/>
      <c r="D59" s="38"/>
      <c r="E59" s="37"/>
      <c r="F59" s="7"/>
      <c r="L59" s="37"/>
      <c r="M59" s="57"/>
      <c r="N59" s="74"/>
      <c r="O59" s="57"/>
      <c r="P59" s="57"/>
      <c r="Q59" s="57"/>
      <c r="R59" s="57"/>
    </row>
    <row r="60" spans="1:18" ht="15.75" thickBot="1" x14ac:dyDescent="0.3">
      <c r="A60" s="44" t="s">
        <v>19</v>
      </c>
      <c r="B60" s="45"/>
      <c r="C60" s="46"/>
      <c r="D60" s="47"/>
      <c r="E60" s="46"/>
      <c r="F60" s="48"/>
      <c r="L60" s="37"/>
      <c r="M60" s="37"/>
      <c r="N60" s="36"/>
      <c r="O60" s="37"/>
      <c r="P60" s="37"/>
      <c r="Q60" s="37"/>
      <c r="R60" s="37"/>
    </row>
    <row r="61" spans="1:18" ht="30.75" customHeight="1" x14ac:dyDescent="0.25">
      <c r="A61" s="95"/>
      <c r="B61" s="96" t="s">
        <v>30</v>
      </c>
      <c r="C61" s="97" t="s">
        <v>29</v>
      </c>
      <c r="D61" s="20">
        <v>7.0000000000000007E-2</v>
      </c>
      <c r="E61" s="183">
        <v>164667</v>
      </c>
      <c r="F61" s="184">
        <f>ROUND(D61*E61,)</f>
        <v>11527</v>
      </c>
      <c r="L61" s="37"/>
      <c r="M61" s="39"/>
      <c r="N61" s="53"/>
      <c r="O61" s="39"/>
      <c r="P61" s="39"/>
      <c r="Q61" s="39"/>
      <c r="R61" s="39"/>
    </row>
    <row r="62" spans="1:18" ht="15.75" thickBot="1" x14ac:dyDescent="0.3">
      <c r="A62" s="155"/>
      <c r="B62" s="78" t="s">
        <v>98</v>
      </c>
      <c r="C62" s="79" t="s">
        <v>29</v>
      </c>
      <c r="D62" s="80">
        <v>0.05</v>
      </c>
      <c r="E62" s="192">
        <v>133000</v>
      </c>
      <c r="F62" s="189">
        <f>ROUND(D62*E62,)</f>
        <v>6650</v>
      </c>
      <c r="L62" s="37"/>
      <c r="M62" s="55"/>
      <c r="N62" s="56"/>
      <c r="O62" s="57"/>
      <c r="P62" s="75"/>
      <c r="Q62" s="59"/>
      <c r="R62" s="59"/>
    </row>
    <row r="63" spans="1:18" ht="15.75" thickBot="1" x14ac:dyDescent="0.3">
      <c r="A63" s="6"/>
      <c r="B63" s="50"/>
      <c r="C63" s="61"/>
      <c r="D63" s="58"/>
      <c r="E63" s="39" t="s">
        <v>20</v>
      </c>
      <c r="F63" s="187">
        <f>SUM(F61:F62)</f>
        <v>18177</v>
      </c>
      <c r="L63" s="37"/>
      <c r="M63" s="55"/>
      <c r="N63" s="56"/>
      <c r="O63" s="57"/>
      <c r="P63" s="75"/>
      <c r="Q63" s="59"/>
      <c r="R63" s="59"/>
    </row>
    <row r="64" spans="1:18" ht="15.75" thickBot="1" x14ac:dyDescent="0.3">
      <c r="A64" s="6"/>
      <c r="B64" s="36"/>
      <c r="C64" s="37"/>
      <c r="D64" s="38"/>
      <c r="E64" s="37"/>
      <c r="F64" s="7"/>
      <c r="L64" s="37"/>
      <c r="M64" s="60"/>
      <c r="N64" s="50"/>
      <c r="O64" s="61"/>
      <c r="P64" s="75"/>
      <c r="Q64" s="59"/>
      <c r="R64" s="59"/>
    </row>
    <row r="65" spans="1:18" ht="15.75" thickBot="1" x14ac:dyDescent="0.3">
      <c r="A65" s="1" t="s">
        <v>21</v>
      </c>
      <c r="B65" s="13"/>
      <c r="C65" s="14"/>
      <c r="D65" s="15"/>
      <c r="E65" s="14"/>
      <c r="F65" s="16"/>
      <c r="L65" s="37"/>
      <c r="M65" s="37"/>
      <c r="N65" s="36"/>
      <c r="O65" s="37"/>
      <c r="P65" s="37"/>
      <c r="Q65" s="39"/>
      <c r="R65" s="59"/>
    </row>
    <row r="66" spans="1:18" ht="17.25" customHeight="1" x14ac:dyDescent="0.25">
      <c r="A66" s="103"/>
      <c r="B66" s="109" t="s">
        <v>211</v>
      </c>
      <c r="C66" s="110" t="s">
        <v>40</v>
      </c>
      <c r="D66" s="112">
        <v>0.3</v>
      </c>
      <c r="E66" s="183">
        <v>1200</v>
      </c>
      <c r="F66" s="184">
        <f t="shared" ref="F66:F67" si="4">ROUND(D66*E66,)</f>
        <v>360</v>
      </c>
      <c r="L66" s="37"/>
      <c r="M66" s="37"/>
      <c r="N66" s="36"/>
      <c r="O66" s="37"/>
      <c r="P66" s="37"/>
      <c r="Q66" s="37"/>
      <c r="R66" s="37"/>
    </row>
    <row r="67" spans="1:18" x14ac:dyDescent="0.25">
      <c r="A67" s="108"/>
      <c r="B67" s="111" t="s">
        <v>36</v>
      </c>
      <c r="C67" s="114" t="s">
        <v>37</v>
      </c>
      <c r="D67" s="115">
        <v>0.3</v>
      </c>
      <c r="E67" s="180">
        <v>120</v>
      </c>
      <c r="F67" s="185">
        <f t="shared" si="4"/>
        <v>36</v>
      </c>
      <c r="L67" s="37"/>
      <c r="M67" s="39"/>
      <c r="N67" s="53"/>
      <c r="O67" s="39"/>
      <c r="P67" s="39"/>
      <c r="Q67" s="39"/>
      <c r="R67" s="39"/>
    </row>
    <row r="68" spans="1:18" x14ac:dyDescent="0.25">
      <c r="A68" s="108"/>
      <c r="B68" s="111" t="s">
        <v>181</v>
      </c>
      <c r="C68" s="114" t="s">
        <v>37</v>
      </c>
      <c r="D68" s="115">
        <v>0.1</v>
      </c>
      <c r="E68" s="180">
        <v>600</v>
      </c>
      <c r="F68" s="185">
        <f t="shared" ref="F68:F69" si="5">ROUND(D68*E68,)</f>
        <v>60</v>
      </c>
      <c r="L68" s="37"/>
      <c r="M68" s="39"/>
      <c r="N68" s="53"/>
      <c r="O68" s="39"/>
      <c r="P68" s="39"/>
      <c r="Q68" s="39"/>
      <c r="R68" s="39"/>
    </row>
    <row r="69" spans="1:18" ht="30" x14ac:dyDescent="0.25">
      <c r="A69" s="108"/>
      <c r="B69" s="236" t="s">
        <v>209</v>
      </c>
      <c r="C69" s="237" t="s">
        <v>37</v>
      </c>
      <c r="D69" s="123">
        <v>0.8</v>
      </c>
      <c r="E69" s="182">
        <v>1200</v>
      </c>
      <c r="F69" s="185">
        <f t="shared" si="5"/>
        <v>960</v>
      </c>
      <c r="L69" s="37"/>
      <c r="M69" s="55"/>
      <c r="N69" s="56"/>
      <c r="O69" s="57"/>
      <c r="P69" s="75"/>
      <c r="Q69" s="59"/>
      <c r="R69" s="59"/>
    </row>
    <row r="70" spans="1:18" ht="15.75" thickBot="1" x14ac:dyDescent="0.3">
      <c r="A70" s="77"/>
      <c r="B70" s="78" t="s">
        <v>34</v>
      </c>
      <c r="C70" s="79" t="s">
        <v>35</v>
      </c>
      <c r="D70" s="80">
        <v>1.2</v>
      </c>
      <c r="E70" s="81">
        <v>1700</v>
      </c>
      <c r="F70" s="189">
        <f>ROUND(D70*E70,)</f>
        <v>2040</v>
      </c>
      <c r="L70" s="37"/>
      <c r="M70" s="60"/>
      <c r="N70" s="50"/>
      <c r="O70" s="61"/>
      <c r="P70" s="58"/>
      <c r="Q70" s="59"/>
      <c r="R70" s="59"/>
    </row>
    <row r="71" spans="1:18" ht="15.75" thickBot="1" x14ac:dyDescent="0.3">
      <c r="A71" s="6"/>
      <c r="B71" s="36"/>
      <c r="C71" s="37"/>
      <c r="D71" s="38"/>
      <c r="E71" s="39" t="s">
        <v>22</v>
      </c>
      <c r="F71" s="190">
        <f>SUM(F66:F70)</f>
        <v>3456</v>
      </c>
      <c r="L71" s="37"/>
      <c r="M71" s="60"/>
      <c r="N71" s="50"/>
      <c r="O71" s="61"/>
      <c r="P71" s="58"/>
      <c r="Q71" s="59"/>
      <c r="R71" s="59"/>
    </row>
    <row r="72" spans="1:18" ht="15.75" thickBot="1" x14ac:dyDescent="0.3">
      <c r="A72" s="6"/>
      <c r="B72" s="36"/>
      <c r="C72" s="37"/>
      <c r="D72" s="38"/>
      <c r="E72" s="37"/>
      <c r="F72" s="7"/>
      <c r="L72" s="37"/>
      <c r="M72" s="60"/>
      <c r="N72" s="50"/>
      <c r="O72" s="61"/>
      <c r="P72" s="58"/>
      <c r="Q72" s="59"/>
      <c r="R72" s="59"/>
    </row>
    <row r="73" spans="1:18" ht="15.75" thickBot="1" x14ac:dyDescent="0.3">
      <c r="A73" s="1" t="s">
        <v>23</v>
      </c>
      <c r="B73" s="13"/>
      <c r="C73" s="14"/>
      <c r="D73" s="15"/>
      <c r="E73" s="14"/>
      <c r="F73" s="16"/>
      <c r="L73" s="37"/>
      <c r="M73" s="37"/>
      <c r="N73" s="36"/>
      <c r="O73" s="37"/>
      <c r="P73" s="37"/>
      <c r="Q73" s="39"/>
      <c r="R73" s="59"/>
    </row>
    <row r="74" spans="1:18" x14ac:dyDescent="0.25">
      <c r="A74" s="17"/>
      <c r="B74" s="96" t="s">
        <v>99</v>
      </c>
      <c r="C74" s="97" t="s">
        <v>40</v>
      </c>
      <c r="D74" s="20">
        <v>2</v>
      </c>
      <c r="E74" s="21">
        <v>500</v>
      </c>
      <c r="F74" s="184">
        <f>ROUND(D74*E74,)</f>
        <v>1000</v>
      </c>
      <c r="L74" s="37"/>
      <c r="M74" s="37"/>
      <c r="N74" s="36"/>
      <c r="O74" s="37"/>
      <c r="P74" s="37"/>
      <c r="Q74" s="37"/>
      <c r="R74" s="37"/>
    </row>
    <row r="75" spans="1:18" x14ac:dyDescent="0.25">
      <c r="A75" s="91"/>
      <c r="B75" s="85" t="s">
        <v>97</v>
      </c>
      <c r="C75" s="86" t="s">
        <v>40</v>
      </c>
      <c r="D75" s="83">
        <v>2.7</v>
      </c>
      <c r="E75" s="180">
        <v>910</v>
      </c>
      <c r="F75" s="185">
        <f t="shared" ref="F75" si="6">ROUND(D75*E75,)</f>
        <v>2457</v>
      </c>
      <c r="L75" s="37"/>
      <c r="M75" s="39"/>
      <c r="N75" s="53"/>
      <c r="O75" s="39"/>
      <c r="P75" s="39"/>
      <c r="Q75" s="39"/>
      <c r="R75" s="39"/>
    </row>
    <row r="76" spans="1:18" ht="20.25" customHeight="1" thickBot="1" x14ac:dyDescent="0.3">
      <c r="A76" s="30"/>
      <c r="B76" s="24" t="s">
        <v>66</v>
      </c>
      <c r="C76" s="25" t="s">
        <v>40</v>
      </c>
      <c r="D76" s="26">
        <v>1</v>
      </c>
      <c r="E76" s="181">
        <v>38151</v>
      </c>
      <c r="F76" s="186">
        <f t="shared" ref="F76" si="7">ROUND(D76*E76,)</f>
        <v>38151</v>
      </c>
      <c r="L76" s="37"/>
      <c r="M76" s="55"/>
      <c r="N76" s="56"/>
      <c r="O76" s="57"/>
      <c r="P76" s="75"/>
      <c r="Q76" s="59"/>
      <c r="R76" s="59"/>
    </row>
    <row r="77" spans="1:18" ht="15.75" thickBot="1" x14ac:dyDescent="0.3">
      <c r="A77" s="6"/>
      <c r="B77" s="36"/>
      <c r="C77" s="37"/>
      <c r="D77" s="38"/>
      <c r="E77" s="39" t="s">
        <v>24</v>
      </c>
      <c r="F77" s="187">
        <f>F74+F76+F75</f>
        <v>41608</v>
      </c>
      <c r="L77" s="37"/>
      <c r="M77" s="55"/>
      <c r="N77" s="50"/>
      <c r="O77" s="61"/>
      <c r="P77" s="75"/>
      <c r="Q77" s="59"/>
      <c r="R77" s="59"/>
    </row>
    <row r="78" spans="1:18" ht="15.75" thickBot="1" x14ac:dyDescent="0.3">
      <c r="A78" s="6"/>
      <c r="B78" s="36"/>
      <c r="C78" s="37"/>
      <c r="D78" s="38"/>
      <c r="E78" s="37"/>
      <c r="F78" s="7"/>
      <c r="L78" s="37"/>
      <c r="M78" s="55"/>
      <c r="N78" s="50"/>
      <c r="O78" s="61"/>
      <c r="P78" s="75"/>
      <c r="Q78" s="59"/>
      <c r="R78" s="59"/>
    </row>
    <row r="79" spans="1:18" ht="15.75" thickBot="1" x14ac:dyDescent="0.3">
      <c r="A79" s="69" t="s">
        <v>12</v>
      </c>
      <c r="B79" s="64" t="s">
        <v>25</v>
      </c>
      <c r="C79" s="65"/>
      <c r="D79" s="66"/>
      <c r="E79" s="67"/>
      <c r="F79" s="351">
        <f>+F77+F71+F63</f>
        <v>63241</v>
      </c>
      <c r="H79" s="126"/>
      <c r="L79" s="37"/>
      <c r="M79" s="60"/>
      <c r="N79" s="50"/>
      <c r="O79" s="61"/>
      <c r="P79" s="75"/>
      <c r="Q79" s="59"/>
      <c r="R79" s="59"/>
    </row>
    <row r="80" spans="1:18" ht="15.75" thickBot="1" x14ac:dyDescent="0.3">
      <c r="A80" s="51"/>
      <c r="B80" s="53"/>
      <c r="C80" s="37"/>
      <c r="D80" s="38"/>
      <c r="E80" s="37"/>
      <c r="F80" s="120"/>
      <c r="L80" s="37"/>
      <c r="M80" s="60"/>
      <c r="N80" s="50"/>
      <c r="O80" s="61"/>
      <c r="P80" s="75"/>
      <c r="Q80" s="59"/>
      <c r="R80" s="59"/>
    </row>
    <row r="81" spans="1:18" ht="21" customHeight="1" x14ac:dyDescent="0.25">
      <c r="A81" s="1" t="s">
        <v>47</v>
      </c>
      <c r="B81" s="356" t="s">
        <v>149</v>
      </c>
      <c r="C81" s="356"/>
      <c r="D81" s="356"/>
      <c r="E81" s="3"/>
      <c r="F81" s="146" t="s">
        <v>15</v>
      </c>
      <c r="L81" s="37"/>
      <c r="M81" s="60"/>
      <c r="N81" s="50"/>
      <c r="O81" s="61"/>
      <c r="P81" s="75"/>
      <c r="Q81" s="59"/>
      <c r="R81" s="59"/>
    </row>
    <row r="82" spans="1:18" ht="15.75" thickBot="1" x14ac:dyDescent="0.3">
      <c r="A82" s="70" t="s">
        <v>9</v>
      </c>
      <c r="B82" s="71">
        <v>1.4</v>
      </c>
      <c r="C82" s="10"/>
      <c r="D82" s="11"/>
      <c r="E82" s="10"/>
      <c r="F82" s="145" t="s">
        <v>26</v>
      </c>
      <c r="L82" s="37"/>
      <c r="M82" s="60"/>
      <c r="N82" s="50"/>
      <c r="O82" s="61"/>
      <c r="P82" s="75"/>
      <c r="Q82" s="59"/>
      <c r="R82" s="59"/>
    </row>
    <row r="83" spans="1:18" ht="15.75" thickBot="1" x14ac:dyDescent="0.3">
      <c r="A83" s="8"/>
      <c r="B83" s="9"/>
      <c r="C83" s="10"/>
      <c r="D83" s="11"/>
      <c r="E83" s="10"/>
      <c r="F83" s="12"/>
      <c r="L83" s="37"/>
      <c r="M83" s="60"/>
      <c r="N83" s="50"/>
      <c r="O83" s="61"/>
      <c r="P83" s="75"/>
      <c r="Q83" s="59"/>
      <c r="R83" s="59"/>
    </row>
    <row r="84" spans="1:18" ht="15.75" thickBot="1" x14ac:dyDescent="0.3">
      <c r="A84" s="33" t="s">
        <v>179</v>
      </c>
      <c r="B84" s="40" t="s">
        <v>47</v>
      </c>
      <c r="C84" s="34" t="s">
        <v>15</v>
      </c>
      <c r="D84" s="35" t="s">
        <v>16</v>
      </c>
      <c r="E84" s="34" t="s">
        <v>17</v>
      </c>
      <c r="F84" s="41" t="s">
        <v>18</v>
      </c>
      <c r="L84" s="37"/>
      <c r="M84" s="60"/>
      <c r="N84" s="50"/>
      <c r="O84" s="61"/>
      <c r="P84" s="75"/>
      <c r="Q84" s="59"/>
      <c r="R84" s="59"/>
    </row>
    <row r="85" spans="1:18" ht="15.75" thickBot="1" x14ac:dyDescent="0.3">
      <c r="A85" s="6"/>
      <c r="B85" s="36"/>
      <c r="C85" s="37"/>
      <c r="D85" s="38"/>
      <c r="E85" s="37"/>
      <c r="F85" s="7"/>
      <c r="L85" s="37"/>
      <c r="M85" s="60"/>
      <c r="N85" s="50"/>
      <c r="O85" s="61"/>
      <c r="P85" s="75"/>
      <c r="Q85" s="59"/>
      <c r="R85" s="59"/>
    </row>
    <row r="86" spans="1:18" ht="15.75" thickBot="1" x14ac:dyDescent="0.3">
      <c r="A86" s="1" t="s">
        <v>19</v>
      </c>
      <c r="B86" s="13"/>
      <c r="C86" s="14"/>
      <c r="D86" s="15"/>
      <c r="E86" s="14"/>
      <c r="F86" s="16"/>
      <c r="L86" s="37"/>
      <c r="M86" s="60"/>
      <c r="N86" s="50"/>
      <c r="O86" s="61"/>
      <c r="P86" s="75"/>
      <c r="Q86" s="59"/>
      <c r="R86" s="59"/>
    </row>
    <row r="87" spans="1:18" ht="25.5" customHeight="1" x14ac:dyDescent="0.25">
      <c r="A87" s="103"/>
      <c r="B87" s="96" t="s">
        <v>30</v>
      </c>
      <c r="C87" s="97" t="s">
        <v>29</v>
      </c>
      <c r="D87" s="20">
        <v>0.05</v>
      </c>
      <c r="E87" s="183">
        <v>164667</v>
      </c>
      <c r="F87" s="184">
        <f>ROUND(D87*E87,)</f>
        <v>8233</v>
      </c>
      <c r="L87" s="37"/>
      <c r="M87" s="60"/>
      <c r="N87" s="50"/>
      <c r="O87" s="61"/>
      <c r="P87" s="75"/>
      <c r="Q87" s="59"/>
      <c r="R87" s="59"/>
    </row>
    <row r="88" spans="1:18" ht="21" customHeight="1" thickBot="1" x14ac:dyDescent="0.3">
      <c r="A88" s="77"/>
      <c r="B88" s="78" t="s">
        <v>98</v>
      </c>
      <c r="C88" s="79" t="s">
        <v>29</v>
      </c>
      <c r="D88" s="80">
        <v>0.05</v>
      </c>
      <c r="E88" s="192">
        <v>133000</v>
      </c>
      <c r="F88" s="189">
        <f>ROUND(D88*E88,)</f>
        <v>6650</v>
      </c>
      <c r="L88" s="37"/>
      <c r="M88" s="60"/>
      <c r="N88" s="50"/>
      <c r="O88" s="61"/>
      <c r="P88" s="75"/>
      <c r="Q88" s="59"/>
      <c r="R88" s="59"/>
    </row>
    <row r="89" spans="1:18" ht="15.75" thickBot="1" x14ac:dyDescent="0.3">
      <c r="A89" s="6"/>
      <c r="B89" s="36"/>
      <c r="C89" s="37"/>
      <c r="D89" s="38"/>
      <c r="E89" s="39" t="s">
        <v>20</v>
      </c>
      <c r="F89" s="187">
        <f>SUM(F87:F88)</f>
        <v>14883</v>
      </c>
      <c r="L89" s="37"/>
      <c r="M89" s="60"/>
      <c r="N89" s="50"/>
      <c r="O89" s="61"/>
      <c r="P89" s="75"/>
      <c r="Q89" s="59"/>
      <c r="R89" s="59"/>
    </row>
    <row r="90" spans="1:18" ht="15.75" thickBot="1" x14ac:dyDescent="0.3">
      <c r="A90" s="6"/>
      <c r="B90" s="36"/>
      <c r="C90" s="37"/>
      <c r="D90" s="38"/>
      <c r="E90" s="37"/>
      <c r="F90" s="7"/>
      <c r="L90" s="37"/>
      <c r="M90" s="60"/>
      <c r="N90" s="50"/>
      <c r="O90" s="61"/>
      <c r="P90" s="75"/>
      <c r="Q90" s="59"/>
      <c r="R90" s="59"/>
    </row>
    <row r="91" spans="1:18" ht="15.75" thickBot="1" x14ac:dyDescent="0.3">
      <c r="A91" s="1" t="s">
        <v>21</v>
      </c>
      <c r="B91" s="13"/>
      <c r="C91" s="14"/>
      <c r="D91" s="15"/>
      <c r="E91" s="14"/>
      <c r="F91" s="16"/>
      <c r="L91" s="37"/>
      <c r="M91" s="60"/>
      <c r="N91" s="50"/>
      <c r="O91" s="61"/>
      <c r="P91" s="75"/>
      <c r="Q91" s="59"/>
      <c r="R91" s="59"/>
    </row>
    <row r="92" spans="1:18" ht="18" customHeight="1" x14ac:dyDescent="0.25">
      <c r="A92" s="103"/>
      <c r="B92" s="109" t="s">
        <v>211</v>
      </c>
      <c r="C92" s="110" t="s">
        <v>40</v>
      </c>
      <c r="D92" s="112">
        <v>0.3</v>
      </c>
      <c r="E92" s="183">
        <v>1200</v>
      </c>
      <c r="F92" s="184">
        <f t="shared" ref="F92:F95" si="8">ROUND(D92*E92,)</f>
        <v>360</v>
      </c>
      <c r="L92" s="37"/>
      <c r="M92" s="60"/>
      <c r="N92" s="50"/>
      <c r="O92" s="61"/>
      <c r="P92" s="75"/>
      <c r="Q92" s="59"/>
      <c r="R92" s="59"/>
    </row>
    <row r="93" spans="1:18" x14ac:dyDescent="0.25">
      <c r="A93" s="108"/>
      <c r="B93" s="111" t="s">
        <v>36</v>
      </c>
      <c r="C93" s="114" t="s">
        <v>37</v>
      </c>
      <c r="D93" s="115">
        <v>0.3</v>
      </c>
      <c r="E93" s="180">
        <v>120</v>
      </c>
      <c r="F93" s="185">
        <f t="shared" si="8"/>
        <v>36</v>
      </c>
      <c r="L93" s="37"/>
      <c r="M93" s="60"/>
      <c r="N93" s="50"/>
      <c r="O93" s="61"/>
      <c r="P93" s="75"/>
      <c r="Q93" s="59"/>
      <c r="R93" s="59"/>
    </row>
    <row r="94" spans="1:18" x14ac:dyDescent="0.25">
      <c r="A94" s="108"/>
      <c r="B94" s="111" t="s">
        <v>181</v>
      </c>
      <c r="C94" s="114" t="s">
        <v>37</v>
      </c>
      <c r="D94" s="115">
        <v>0.1</v>
      </c>
      <c r="E94" s="180">
        <v>600</v>
      </c>
      <c r="F94" s="185">
        <f t="shared" si="8"/>
        <v>60</v>
      </c>
      <c r="L94" s="37"/>
      <c r="M94" s="60"/>
      <c r="N94" s="50"/>
      <c r="O94" s="61"/>
      <c r="P94" s="75"/>
      <c r="Q94" s="59"/>
      <c r="R94" s="59"/>
    </row>
    <row r="95" spans="1:18" ht="30" x14ac:dyDescent="0.25">
      <c r="A95" s="108"/>
      <c r="B95" s="236" t="s">
        <v>209</v>
      </c>
      <c r="C95" s="237" t="s">
        <v>37</v>
      </c>
      <c r="D95" s="123">
        <v>0.8</v>
      </c>
      <c r="E95" s="182">
        <v>1200</v>
      </c>
      <c r="F95" s="185">
        <f t="shared" si="8"/>
        <v>960</v>
      </c>
      <c r="L95" s="37"/>
      <c r="M95" s="60"/>
      <c r="N95" s="50"/>
      <c r="O95" s="61"/>
      <c r="P95" s="75"/>
      <c r="Q95" s="59"/>
      <c r="R95" s="59"/>
    </row>
    <row r="96" spans="1:18" ht="15.75" thickBot="1" x14ac:dyDescent="0.3">
      <c r="A96" s="77"/>
      <c r="B96" s="78" t="s">
        <v>34</v>
      </c>
      <c r="C96" s="79" t="s">
        <v>35</v>
      </c>
      <c r="D96" s="80">
        <v>1.2</v>
      </c>
      <c r="E96" s="81">
        <v>1700</v>
      </c>
      <c r="F96" s="189">
        <f>ROUND(D96*E96,)</f>
        <v>2040</v>
      </c>
      <c r="L96" s="37"/>
      <c r="M96" s="60"/>
      <c r="N96" s="50"/>
      <c r="O96" s="61"/>
      <c r="P96" s="75"/>
      <c r="Q96" s="59"/>
      <c r="R96" s="59"/>
    </row>
    <row r="97" spans="1:18" ht="15.75" thickBot="1" x14ac:dyDescent="0.3">
      <c r="A97" s="6"/>
      <c r="B97" s="36"/>
      <c r="C97" s="37"/>
      <c r="D97" s="38"/>
      <c r="E97" s="39" t="s">
        <v>22</v>
      </c>
      <c r="F97" s="190">
        <f>SUM(F92:F96)</f>
        <v>3456</v>
      </c>
      <c r="L97" s="37"/>
      <c r="M97" s="60"/>
      <c r="N97" s="50"/>
      <c r="O97" s="61"/>
      <c r="P97" s="75"/>
      <c r="Q97" s="59"/>
      <c r="R97" s="59"/>
    </row>
    <row r="98" spans="1:18" ht="15.75" thickBot="1" x14ac:dyDescent="0.3">
      <c r="A98" s="6"/>
      <c r="B98" s="36"/>
      <c r="C98" s="37"/>
      <c r="D98" s="38"/>
      <c r="E98" s="37"/>
      <c r="F98" s="7"/>
      <c r="L98" s="37"/>
      <c r="M98" s="60"/>
      <c r="N98" s="50"/>
      <c r="O98" s="61"/>
      <c r="P98" s="75"/>
      <c r="Q98" s="59"/>
      <c r="R98" s="59"/>
    </row>
    <row r="99" spans="1:18" ht="15.75" thickBot="1" x14ac:dyDescent="0.3">
      <c r="A99" s="1" t="s">
        <v>23</v>
      </c>
      <c r="B99" s="13"/>
      <c r="C99" s="14"/>
      <c r="D99" s="15"/>
      <c r="E99" s="14"/>
      <c r="F99" s="16"/>
      <c r="L99" s="37"/>
      <c r="M99" s="60"/>
      <c r="N99" s="50"/>
      <c r="O99" s="61"/>
      <c r="P99" s="75"/>
      <c r="Q99" s="59"/>
      <c r="R99" s="59"/>
    </row>
    <row r="100" spans="1:18" x14ac:dyDescent="0.25">
      <c r="A100" s="17"/>
      <c r="B100" s="96"/>
      <c r="C100" s="97"/>
      <c r="D100" s="20"/>
      <c r="E100" s="183"/>
      <c r="F100" s="184"/>
      <c r="L100" s="37"/>
      <c r="M100" s="60"/>
      <c r="N100" s="50"/>
      <c r="O100" s="61"/>
      <c r="P100" s="75"/>
      <c r="Q100" s="59"/>
      <c r="R100" s="59"/>
    </row>
    <row r="101" spans="1:18" x14ac:dyDescent="0.25">
      <c r="A101" s="91"/>
      <c r="B101" s="85" t="s">
        <v>64</v>
      </c>
      <c r="C101" s="86" t="s">
        <v>40</v>
      </c>
      <c r="D101" s="83">
        <v>2</v>
      </c>
      <c r="E101" s="180">
        <v>910</v>
      </c>
      <c r="F101" s="185">
        <f t="shared" ref="F101:F102" si="9">ROUND(D101*E101,)</f>
        <v>1820</v>
      </c>
      <c r="L101" s="37"/>
      <c r="M101" s="60"/>
      <c r="N101" s="50"/>
      <c r="O101" s="61"/>
      <c r="P101" s="75"/>
      <c r="Q101" s="59"/>
      <c r="R101" s="59"/>
    </row>
    <row r="102" spans="1:18" ht="15.75" thickBot="1" x14ac:dyDescent="0.3">
      <c r="A102" s="30"/>
      <c r="B102" s="24" t="s">
        <v>67</v>
      </c>
      <c r="C102" s="25" t="s">
        <v>40</v>
      </c>
      <c r="D102" s="26">
        <v>18</v>
      </c>
      <c r="E102" s="238">
        <v>1950</v>
      </c>
      <c r="F102" s="186">
        <f t="shared" si="9"/>
        <v>35100</v>
      </c>
      <c r="L102" s="37"/>
      <c r="M102" s="60"/>
      <c r="N102" s="50"/>
      <c r="O102" s="61"/>
      <c r="P102" s="75"/>
      <c r="Q102" s="59"/>
      <c r="R102" s="59"/>
    </row>
    <row r="103" spans="1:18" ht="15.75" thickBot="1" x14ac:dyDescent="0.3">
      <c r="A103" s="6"/>
      <c r="B103" s="36"/>
      <c r="C103" s="37"/>
      <c r="D103" s="38"/>
      <c r="E103" s="39" t="s">
        <v>24</v>
      </c>
      <c r="F103" s="187">
        <f>F101+F102</f>
        <v>36920</v>
      </c>
      <c r="L103" s="37"/>
      <c r="M103" s="60"/>
      <c r="N103" s="50"/>
      <c r="O103" s="61"/>
      <c r="P103" s="75"/>
      <c r="Q103" s="59"/>
      <c r="R103" s="59"/>
    </row>
    <row r="104" spans="1:18" ht="15.75" thickBot="1" x14ac:dyDescent="0.3">
      <c r="A104" s="6"/>
      <c r="B104" s="36"/>
      <c r="C104" s="37"/>
      <c r="D104" s="38"/>
      <c r="E104" s="37"/>
      <c r="F104" s="7"/>
      <c r="L104" s="37"/>
      <c r="M104" s="60"/>
      <c r="N104" s="50"/>
      <c r="O104" s="61"/>
      <c r="P104" s="75"/>
      <c r="Q104" s="59"/>
      <c r="R104" s="59"/>
    </row>
    <row r="105" spans="1:18" ht="15.75" thickBot="1" x14ac:dyDescent="0.3">
      <c r="A105" s="69" t="s">
        <v>12</v>
      </c>
      <c r="B105" s="64" t="s">
        <v>25</v>
      </c>
      <c r="C105" s="65"/>
      <c r="D105" s="66"/>
      <c r="E105" s="67"/>
      <c r="F105" s="351">
        <f>+F103+F97+F89</f>
        <v>55259</v>
      </c>
      <c r="H105" s="126"/>
      <c r="L105" s="37"/>
      <c r="M105" s="60"/>
      <c r="N105" s="50"/>
      <c r="O105" s="61"/>
      <c r="P105" s="75"/>
      <c r="Q105" s="59"/>
      <c r="R105" s="59"/>
    </row>
    <row r="106" spans="1:18" ht="15.75" thickBot="1" x14ac:dyDescent="0.3">
      <c r="A106" s="51"/>
      <c r="B106" s="53"/>
      <c r="C106" s="37"/>
      <c r="D106" s="38"/>
      <c r="E106" s="37"/>
      <c r="F106" s="120"/>
      <c r="L106" s="37"/>
      <c r="M106" s="60"/>
      <c r="N106" s="50"/>
      <c r="O106" s="61"/>
      <c r="P106" s="75"/>
      <c r="Q106" s="59"/>
      <c r="R106" s="59"/>
    </row>
    <row r="107" spans="1:18" ht="31.5" customHeight="1" x14ac:dyDescent="0.25">
      <c r="A107" s="1" t="s">
        <v>47</v>
      </c>
      <c r="B107" s="356" t="s">
        <v>212</v>
      </c>
      <c r="C107" s="356"/>
      <c r="D107" s="356"/>
      <c r="E107" s="3"/>
      <c r="F107" s="146" t="s">
        <v>15</v>
      </c>
      <c r="L107" s="37"/>
      <c r="M107" s="60"/>
      <c r="N107" s="50"/>
      <c r="O107" s="61"/>
      <c r="P107" s="75"/>
      <c r="Q107" s="59"/>
      <c r="R107" s="59"/>
    </row>
    <row r="108" spans="1:18" ht="15.75" thickBot="1" x14ac:dyDescent="0.3">
      <c r="A108" s="70" t="s">
        <v>9</v>
      </c>
      <c r="B108" s="71">
        <v>1.5</v>
      </c>
      <c r="C108" s="10"/>
      <c r="D108" s="11"/>
      <c r="E108" s="10"/>
      <c r="F108" s="145" t="s">
        <v>33</v>
      </c>
      <c r="L108" s="37"/>
      <c r="M108" s="60"/>
      <c r="N108" s="50"/>
      <c r="O108" s="61"/>
      <c r="P108" s="75"/>
      <c r="Q108" s="59"/>
      <c r="R108" s="59"/>
    </row>
    <row r="109" spans="1:18" ht="15.75" thickBot="1" x14ac:dyDescent="0.3">
      <c r="A109" s="8"/>
      <c r="B109" s="9"/>
      <c r="C109" s="10"/>
      <c r="D109" s="11"/>
      <c r="E109" s="10"/>
      <c r="F109" s="12"/>
      <c r="L109" s="37"/>
      <c r="M109" s="60"/>
      <c r="N109" s="50"/>
      <c r="O109" s="61"/>
      <c r="P109" s="75"/>
      <c r="Q109" s="59"/>
      <c r="R109" s="59"/>
    </row>
    <row r="110" spans="1:18" ht="15.75" thickBot="1" x14ac:dyDescent="0.3">
      <c r="A110" s="33" t="s">
        <v>179</v>
      </c>
      <c r="B110" s="40" t="s">
        <v>47</v>
      </c>
      <c r="C110" s="34" t="s">
        <v>15</v>
      </c>
      <c r="D110" s="35" t="s">
        <v>16</v>
      </c>
      <c r="E110" s="34" t="s">
        <v>17</v>
      </c>
      <c r="F110" s="41" t="s">
        <v>18</v>
      </c>
      <c r="L110" s="37"/>
      <c r="M110" s="60"/>
      <c r="N110" s="50"/>
      <c r="O110" s="61"/>
      <c r="P110" s="75"/>
      <c r="Q110" s="59"/>
      <c r="R110" s="59"/>
    </row>
    <row r="111" spans="1:18" ht="15.75" thickBot="1" x14ac:dyDescent="0.3">
      <c r="A111" s="6"/>
      <c r="B111" s="36"/>
      <c r="C111" s="37"/>
      <c r="D111" s="38"/>
      <c r="E111" s="37"/>
      <c r="F111" s="7"/>
      <c r="L111" s="37"/>
      <c r="M111" s="60"/>
      <c r="N111" s="50"/>
      <c r="O111" s="61"/>
      <c r="P111" s="75"/>
      <c r="Q111" s="59"/>
      <c r="R111" s="59"/>
    </row>
    <row r="112" spans="1:18" ht="15.75" thickBot="1" x14ac:dyDescent="0.3">
      <c r="A112" s="1" t="s">
        <v>19</v>
      </c>
      <c r="B112" s="13"/>
      <c r="C112" s="14"/>
      <c r="D112" s="15"/>
      <c r="E112" s="14"/>
      <c r="F112" s="16"/>
      <c r="L112" s="37"/>
      <c r="M112" s="60"/>
      <c r="N112" s="50"/>
      <c r="O112" s="61"/>
      <c r="P112" s="75"/>
      <c r="Q112" s="59"/>
      <c r="R112" s="59"/>
    </row>
    <row r="113" spans="1:18" ht="29.25" customHeight="1" x14ac:dyDescent="0.25">
      <c r="A113" s="103"/>
      <c r="B113" s="96" t="s">
        <v>30</v>
      </c>
      <c r="C113" s="97" t="s">
        <v>29</v>
      </c>
      <c r="D113" s="20">
        <v>0.08</v>
      </c>
      <c r="E113" s="183">
        <v>164667</v>
      </c>
      <c r="F113" s="184">
        <f>ROUND(D113*E113,)</f>
        <v>13173</v>
      </c>
      <c r="L113" s="37"/>
      <c r="M113" s="60"/>
      <c r="N113" s="50"/>
      <c r="O113" s="61"/>
      <c r="P113" s="75"/>
      <c r="Q113" s="59"/>
      <c r="R113" s="59"/>
    </row>
    <row r="114" spans="1:18" ht="15.75" thickBot="1" x14ac:dyDescent="0.3">
      <c r="A114" s="77"/>
      <c r="B114" s="78" t="s">
        <v>98</v>
      </c>
      <c r="C114" s="79" t="s">
        <v>29</v>
      </c>
      <c r="D114" s="80">
        <v>0.04</v>
      </c>
      <c r="E114" s="192">
        <v>133000</v>
      </c>
      <c r="F114" s="189">
        <f>ROUND(D114*E114,)</f>
        <v>5320</v>
      </c>
      <c r="L114" s="37"/>
      <c r="M114" s="60"/>
      <c r="N114" s="50"/>
      <c r="O114" s="61"/>
      <c r="P114" s="75"/>
      <c r="Q114" s="59"/>
      <c r="R114" s="59"/>
    </row>
    <row r="115" spans="1:18" ht="15.75" thickBot="1" x14ac:dyDescent="0.3">
      <c r="A115" s="245"/>
      <c r="B115" s="50"/>
      <c r="C115" s="61"/>
      <c r="D115" s="58"/>
      <c r="E115" s="39" t="s">
        <v>20</v>
      </c>
      <c r="F115" s="187">
        <f>SUM(F113:F114)</f>
        <v>18493</v>
      </c>
      <c r="L115" s="37"/>
      <c r="M115" s="60"/>
      <c r="N115" s="50"/>
      <c r="O115" s="61"/>
      <c r="P115" s="75"/>
      <c r="Q115" s="59"/>
      <c r="R115" s="59"/>
    </row>
    <row r="116" spans="1:18" ht="15.75" thickBot="1" x14ac:dyDescent="0.3">
      <c r="A116" s="6"/>
      <c r="B116" s="36"/>
      <c r="C116" s="37"/>
      <c r="D116" s="38"/>
      <c r="E116" s="37"/>
      <c r="F116" s="7"/>
      <c r="L116" s="37"/>
      <c r="M116" s="60"/>
      <c r="N116" s="50"/>
      <c r="O116" s="61"/>
      <c r="P116" s="75"/>
      <c r="Q116" s="59"/>
      <c r="R116" s="59"/>
    </row>
    <row r="117" spans="1:18" ht="15.75" thickBot="1" x14ac:dyDescent="0.3">
      <c r="A117" s="1" t="s">
        <v>21</v>
      </c>
      <c r="B117" s="13"/>
      <c r="C117" s="14"/>
      <c r="D117" s="15"/>
      <c r="E117" s="14"/>
      <c r="F117" s="16"/>
      <c r="L117" s="37"/>
      <c r="M117" s="60"/>
      <c r="N117" s="50"/>
      <c r="O117" s="61"/>
      <c r="P117" s="75"/>
      <c r="Q117" s="59"/>
      <c r="R117" s="59"/>
    </row>
    <row r="118" spans="1:18" ht="15.75" customHeight="1" x14ac:dyDescent="0.25">
      <c r="A118" s="103"/>
      <c r="B118" s="109" t="s">
        <v>211</v>
      </c>
      <c r="C118" s="110" t="s">
        <v>40</v>
      </c>
      <c r="D118" s="112">
        <v>0.3</v>
      </c>
      <c r="E118" s="183">
        <v>1200</v>
      </c>
      <c r="F118" s="184">
        <f t="shared" ref="F118:F121" si="10">ROUND(D118*E118,)</f>
        <v>360</v>
      </c>
      <c r="L118" s="37"/>
      <c r="M118" s="60"/>
      <c r="N118" s="50"/>
      <c r="O118" s="61"/>
      <c r="P118" s="75"/>
      <c r="Q118" s="59"/>
      <c r="R118" s="59"/>
    </row>
    <row r="119" spans="1:18" x14ac:dyDescent="0.25">
      <c r="A119" s="108"/>
      <c r="B119" s="111" t="s">
        <v>36</v>
      </c>
      <c r="C119" s="114" t="s">
        <v>37</v>
      </c>
      <c r="D119" s="115">
        <v>0.3</v>
      </c>
      <c r="E119" s="180">
        <v>120</v>
      </c>
      <c r="F119" s="185">
        <f t="shared" si="10"/>
        <v>36</v>
      </c>
      <c r="L119" s="37"/>
      <c r="M119" s="60"/>
      <c r="N119" s="50"/>
      <c r="O119" s="61"/>
      <c r="P119" s="75"/>
      <c r="Q119" s="59"/>
      <c r="R119" s="59"/>
    </row>
    <row r="120" spans="1:18" x14ac:dyDescent="0.25">
      <c r="A120" s="108"/>
      <c r="B120" s="111" t="s">
        <v>181</v>
      </c>
      <c r="C120" s="114" t="s">
        <v>37</v>
      </c>
      <c r="D120" s="115">
        <v>0.1</v>
      </c>
      <c r="E120" s="180">
        <v>600</v>
      </c>
      <c r="F120" s="185">
        <f t="shared" si="10"/>
        <v>60</v>
      </c>
      <c r="L120" s="37"/>
      <c r="M120" s="60"/>
      <c r="N120" s="50"/>
      <c r="O120" s="61"/>
      <c r="P120" s="75"/>
      <c r="Q120" s="59"/>
      <c r="R120" s="59"/>
    </row>
    <row r="121" spans="1:18" ht="30" x14ac:dyDescent="0.25">
      <c r="A121" s="122"/>
      <c r="B121" s="236" t="s">
        <v>209</v>
      </c>
      <c r="C121" s="237" t="s">
        <v>37</v>
      </c>
      <c r="D121" s="123">
        <v>0.8</v>
      </c>
      <c r="E121" s="182">
        <v>1200</v>
      </c>
      <c r="F121" s="185">
        <f t="shared" si="10"/>
        <v>960</v>
      </c>
      <c r="L121" s="37"/>
      <c r="M121" s="60"/>
      <c r="N121" s="50"/>
      <c r="O121" s="61"/>
      <c r="P121" s="75"/>
      <c r="Q121" s="59"/>
      <c r="R121" s="59"/>
    </row>
    <row r="122" spans="1:18" ht="15.75" thickBot="1" x14ac:dyDescent="0.3">
      <c r="A122" s="77"/>
      <c r="B122" s="78" t="s">
        <v>34</v>
      </c>
      <c r="C122" s="79" t="s">
        <v>35</v>
      </c>
      <c r="D122" s="80">
        <v>1.2</v>
      </c>
      <c r="E122" s="81">
        <v>1700</v>
      </c>
      <c r="F122" s="189">
        <f>ROUND(D122*E122,)</f>
        <v>2040</v>
      </c>
      <c r="L122" s="37"/>
      <c r="M122" s="60"/>
      <c r="N122" s="50"/>
      <c r="O122" s="61"/>
      <c r="P122" s="75"/>
      <c r="Q122" s="59"/>
      <c r="R122" s="59"/>
    </row>
    <row r="123" spans="1:18" ht="15.75" thickBot="1" x14ac:dyDescent="0.3">
      <c r="A123" s="6"/>
      <c r="B123" s="36"/>
      <c r="C123" s="37"/>
      <c r="D123" s="38"/>
      <c r="E123" s="39" t="s">
        <v>22</v>
      </c>
      <c r="F123" s="190">
        <f>SUM(F118:F122)</f>
        <v>3456</v>
      </c>
      <c r="L123" s="37"/>
      <c r="M123" s="60"/>
      <c r="N123" s="50"/>
      <c r="O123" s="61"/>
      <c r="P123" s="75"/>
      <c r="Q123" s="59"/>
      <c r="R123" s="59"/>
    </row>
    <row r="124" spans="1:18" ht="15.75" thickBot="1" x14ac:dyDescent="0.3">
      <c r="A124" s="6"/>
      <c r="B124" s="36"/>
      <c r="C124" s="37"/>
      <c r="D124" s="38"/>
      <c r="E124" s="37"/>
      <c r="F124" s="7"/>
      <c r="L124" s="37"/>
      <c r="M124" s="60"/>
      <c r="N124" s="50"/>
      <c r="O124" s="61"/>
      <c r="P124" s="75"/>
      <c r="Q124" s="59"/>
      <c r="R124" s="59"/>
    </row>
    <row r="125" spans="1:18" ht="15.75" thickBot="1" x14ac:dyDescent="0.3">
      <c r="A125" s="1" t="s">
        <v>23</v>
      </c>
      <c r="B125" s="13"/>
      <c r="C125" s="14"/>
      <c r="D125" s="15"/>
      <c r="E125" s="14"/>
      <c r="F125" s="16"/>
      <c r="L125" s="37"/>
      <c r="M125" s="60"/>
      <c r="N125" s="50"/>
      <c r="O125" s="61"/>
      <c r="P125" s="75"/>
      <c r="Q125" s="59"/>
      <c r="R125" s="59"/>
    </row>
    <row r="126" spans="1:18" x14ac:dyDescent="0.25">
      <c r="A126" s="17"/>
      <c r="B126" s="96"/>
      <c r="C126" s="97"/>
      <c r="D126" s="101"/>
      <c r="E126" s="193"/>
      <c r="F126" s="184"/>
      <c r="L126" s="37"/>
      <c r="M126" s="60"/>
      <c r="N126" s="50"/>
      <c r="O126" s="61"/>
      <c r="P126" s="75"/>
      <c r="Q126" s="59"/>
      <c r="R126" s="59"/>
    </row>
    <row r="127" spans="1:18" x14ac:dyDescent="0.25">
      <c r="A127" s="91"/>
      <c r="B127" s="85" t="s">
        <v>213</v>
      </c>
      <c r="C127" s="86" t="s">
        <v>33</v>
      </c>
      <c r="D127" s="83">
        <v>1</v>
      </c>
      <c r="E127" s="180">
        <v>14580</v>
      </c>
      <c r="F127" s="185">
        <f t="shared" ref="F127:F128" si="11">ROUND(D127*E127,)</f>
        <v>14580</v>
      </c>
      <c r="L127" s="37"/>
      <c r="M127" s="60"/>
      <c r="N127" s="50"/>
      <c r="O127" s="61"/>
      <c r="P127" s="75"/>
      <c r="Q127" s="59"/>
      <c r="R127" s="59"/>
    </row>
    <row r="128" spans="1:18" ht="15.75" thickBot="1" x14ac:dyDescent="0.3">
      <c r="A128" s="30"/>
      <c r="B128" s="24"/>
      <c r="C128" s="25"/>
      <c r="D128" s="102"/>
      <c r="E128" s="192"/>
      <c r="F128" s="186">
        <f t="shared" si="11"/>
        <v>0</v>
      </c>
      <c r="L128" s="37"/>
      <c r="M128" s="60"/>
      <c r="N128" s="50"/>
      <c r="O128" s="61"/>
      <c r="P128" s="75"/>
      <c r="Q128" s="59"/>
      <c r="R128" s="59"/>
    </row>
    <row r="129" spans="1:18" ht="15.75" thickBot="1" x14ac:dyDescent="0.3">
      <c r="A129" s="6"/>
      <c r="B129" s="36"/>
      <c r="C129" s="37"/>
      <c r="D129" s="38"/>
      <c r="E129" s="39" t="s">
        <v>24</v>
      </c>
      <c r="F129" s="187">
        <f>SUM(F127:F128)</f>
        <v>14580</v>
      </c>
      <c r="L129" s="37"/>
      <c r="M129" s="60"/>
      <c r="N129" s="50"/>
      <c r="O129" s="61"/>
      <c r="P129" s="75"/>
      <c r="Q129" s="59"/>
      <c r="R129" s="59"/>
    </row>
    <row r="130" spans="1:18" ht="15.75" thickBot="1" x14ac:dyDescent="0.3">
      <c r="A130" s="6"/>
      <c r="B130" s="36"/>
      <c r="C130" s="37"/>
      <c r="D130" s="38"/>
      <c r="E130" s="37"/>
      <c r="F130" s="7"/>
      <c r="L130" s="37"/>
      <c r="M130" s="60"/>
      <c r="N130" s="50"/>
      <c r="O130" s="61"/>
      <c r="P130" s="75"/>
      <c r="Q130" s="59"/>
      <c r="R130" s="59"/>
    </row>
    <row r="131" spans="1:18" ht="15.75" thickBot="1" x14ac:dyDescent="0.3">
      <c r="A131" s="69" t="s">
        <v>12</v>
      </c>
      <c r="B131" s="64" t="s">
        <v>25</v>
      </c>
      <c r="C131" s="65"/>
      <c r="D131" s="66"/>
      <c r="E131" s="67"/>
      <c r="F131" s="351">
        <f>+F129+F123+F115</f>
        <v>36529</v>
      </c>
      <c r="H131" s="126"/>
      <c r="L131" s="37"/>
      <c r="M131" s="60"/>
      <c r="N131" s="50"/>
      <c r="O131" s="61"/>
      <c r="P131" s="75"/>
      <c r="Q131" s="59"/>
      <c r="R131" s="59"/>
    </row>
    <row r="132" spans="1:18" ht="15.75" thickBot="1" x14ac:dyDescent="0.3">
      <c r="A132" s="37"/>
      <c r="B132" s="36"/>
      <c r="C132" s="37"/>
      <c r="D132" s="38"/>
      <c r="E132" s="37"/>
      <c r="F132" s="37"/>
      <c r="L132" s="37"/>
      <c r="M132" s="60"/>
      <c r="N132" s="50"/>
      <c r="O132" s="61"/>
      <c r="P132" s="75"/>
      <c r="Q132" s="59"/>
      <c r="R132" s="59"/>
    </row>
    <row r="133" spans="1:18" ht="17.25" customHeight="1" x14ac:dyDescent="0.25">
      <c r="A133" s="1" t="s">
        <v>47</v>
      </c>
      <c r="B133" s="356" t="s">
        <v>57</v>
      </c>
      <c r="C133" s="356"/>
      <c r="D133" s="356"/>
      <c r="E133" s="3"/>
      <c r="F133" s="146" t="s">
        <v>15</v>
      </c>
      <c r="L133" s="37"/>
      <c r="M133" s="60"/>
      <c r="N133" s="50"/>
      <c r="O133" s="61"/>
      <c r="P133" s="75"/>
      <c r="Q133" s="59"/>
      <c r="R133" s="59"/>
    </row>
    <row r="134" spans="1:18" ht="15.75" thickBot="1" x14ac:dyDescent="0.3">
      <c r="A134" s="70" t="s">
        <v>9</v>
      </c>
      <c r="B134" s="71">
        <v>1.6</v>
      </c>
      <c r="C134" s="10"/>
      <c r="D134" s="11"/>
      <c r="E134" s="10"/>
      <c r="F134" s="145" t="s">
        <v>33</v>
      </c>
      <c r="L134" s="37"/>
      <c r="M134" s="60"/>
      <c r="N134" s="50"/>
      <c r="O134" s="61"/>
      <c r="P134" s="75"/>
      <c r="Q134" s="59"/>
      <c r="R134" s="59"/>
    </row>
    <row r="135" spans="1:18" ht="15.75" thickBot="1" x14ac:dyDescent="0.3">
      <c r="A135" s="8"/>
      <c r="B135" s="9"/>
      <c r="C135" s="10"/>
      <c r="D135" s="11"/>
      <c r="E135" s="10"/>
      <c r="F135" s="12"/>
      <c r="L135" s="37"/>
      <c r="M135" s="60"/>
      <c r="N135" s="50"/>
      <c r="O135" s="61"/>
      <c r="P135" s="75"/>
      <c r="Q135" s="59"/>
      <c r="R135" s="59"/>
    </row>
    <row r="136" spans="1:18" ht="15.75" thickBot="1" x14ac:dyDescent="0.3">
      <c r="A136" s="33" t="s">
        <v>179</v>
      </c>
      <c r="B136" s="40" t="s">
        <v>47</v>
      </c>
      <c r="C136" s="34" t="s">
        <v>15</v>
      </c>
      <c r="D136" s="35" t="s">
        <v>16</v>
      </c>
      <c r="E136" s="34" t="s">
        <v>17</v>
      </c>
      <c r="F136" s="41" t="s">
        <v>18</v>
      </c>
      <c r="L136" s="37"/>
      <c r="M136" s="60"/>
      <c r="N136" s="50"/>
      <c r="O136" s="61"/>
      <c r="P136" s="75"/>
      <c r="Q136" s="59"/>
      <c r="R136" s="59"/>
    </row>
    <row r="137" spans="1:18" ht="15.75" thickBot="1" x14ac:dyDescent="0.3">
      <c r="A137" s="6"/>
      <c r="B137" s="36"/>
      <c r="C137" s="37"/>
      <c r="D137" s="38"/>
      <c r="E137" s="37"/>
      <c r="F137" s="7"/>
      <c r="L137" s="37"/>
      <c r="M137" s="60"/>
      <c r="N137" s="50"/>
      <c r="O137" s="61"/>
      <c r="P137" s="75"/>
      <c r="Q137" s="59"/>
      <c r="R137" s="59"/>
    </row>
    <row r="138" spans="1:18" ht="15.75" thickBot="1" x14ac:dyDescent="0.3">
      <c r="A138" s="1" t="s">
        <v>19</v>
      </c>
      <c r="B138" s="13"/>
      <c r="C138" s="14"/>
      <c r="D138" s="15"/>
      <c r="E138" s="14"/>
      <c r="F138" s="16"/>
      <c r="L138" s="37"/>
      <c r="M138" s="60"/>
      <c r="N138" s="50"/>
      <c r="O138" s="61"/>
      <c r="P138" s="75"/>
      <c r="Q138" s="59"/>
      <c r="R138" s="59"/>
    </row>
    <row r="139" spans="1:18" ht="30" customHeight="1" x14ac:dyDescent="0.25">
      <c r="A139" s="103"/>
      <c r="B139" s="96" t="s">
        <v>30</v>
      </c>
      <c r="C139" s="97" t="s">
        <v>29</v>
      </c>
      <c r="D139" s="20">
        <v>0.06</v>
      </c>
      <c r="E139" s="183">
        <v>164667</v>
      </c>
      <c r="F139" s="184">
        <f>ROUND(D139*E139,)</f>
        <v>9880</v>
      </c>
      <c r="L139" s="37"/>
      <c r="M139" s="60"/>
      <c r="N139" s="50"/>
      <c r="O139" s="61"/>
      <c r="P139" s="75"/>
      <c r="Q139" s="59"/>
      <c r="R139" s="59"/>
    </row>
    <row r="140" spans="1:18" ht="18.75" customHeight="1" thickBot="1" x14ac:dyDescent="0.3">
      <c r="A140" s="77"/>
      <c r="B140" s="78" t="s">
        <v>98</v>
      </c>
      <c r="C140" s="79" t="s">
        <v>29</v>
      </c>
      <c r="D140" s="80">
        <v>0.05</v>
      </c>
      <c r="E140" s="192">
        <v>133000</v>
      </c>
      <c r="F140" s="189">
        <f>ROUND(D140*E140,)</f>
        <v>6650</v>
      </c>
      <c r="L140" s="37"/>
      <c r="M140" s="60"/>
      <c r="N140" s="50"/>
      <c r="O140" s="61"/>
      <c r="P140" s="75"/>
      <c r="Q140" s="59"/>
      <c r="R140" s="59"/>
    </row>
    <row r="141" spans="1:18" ht="15.75" thickBot="1" x14ac:dyDescent="0.3">
      <c r="A141" s="6"/>
      <c r="B141" s="36"/>
      <c r="C141" s="37"/>
      <c r="D141" s="38"/>
      <c r="E141" s="39" t="s">
        <v>20</v>
      </c>
      <c r="F141" s="187">
        <f>SUM(F139:F140)</f>
        <v>16530</v>
      </c>
      <c r="L141" s="37"/>
      <c r="M141" s="60"/>
      <c r="N141" s="50"/>
      <c r="O141" s="61"/>
      <c r="P141" s="75"/>
      <c r="Q141" s="59"/>
      <c r="R141" s="59"/>
    </row>
    <row r="142" spans="1:18" ht="15.75" thickBot="1" x14ac:dyDescent="0.3">
      <c r="A142" s="6"/>
      <c r="B142" s="36"/>
      <c r="C142" s="37"/>
      <c r="D142" s="38"/>
      <c r="E142" s="37"/>
      <c r="F142" s="7"/>
      <c r="L142" s="37"/>
      <c r="M142" s="60"/>
      <c r="N142" s="50"/>
      <c r="O142" s="61"/>
      <c r="P142" s="75"/>
      <c r="Q142" s="59"/>
      <c r="R142" s="59"/>
    </row>
    <row r="143" spans="1:18" ht="15.75" thickBot="1" x14ac:dyDescent="0.3">
      <c r="A143" s="1" t="s">
        <v>21</v>
      </c>
      <c r="B143" s="13"/>
      <c r="C143" s="14"/>
      <c r="D143" s="15"/>
      <c r="E143" s="14"/>
      <c r="F143" s="16"/>
      <c r="L143" s="37"/>
      <c r="M143" s="60"/>
      <c r="N143" s="50"/>
      <c r="O143" s="61"/>
      <c r="P143" s="75"/>
      <c r="Q143" s="59"/>
      <c r="R143" s="59"/>
    </row>
    <row r="144" spans="1:18" ht="16.5" customHeight="1" x14ac:dyDescent="0.25">
      <c r="A144" s="103"/>
      <c r="B144" s="109" t="s">
        <v>211</v>
      </c>
      <c r="C144" s="110" t="s">
        <v>40</v>
      </c>
      <c r="D144" s="112">
        <v>0.3</v>
      </c>
      <c r="E144" s="183">
        <v>1200</v>
      </c>
      <c r="F144" s="184">
        <f t="shared" ref="F144:F146" si="12">ROUND(D144*E144,)</f>
        <v>360</v>
      </c>
      <c r="L144" s="37"/>
      <c r="M144" s="60"/>
      <c r="N144" s="50"/>
      <c r="O144" s="61"/>
      <c r="P144" s="75"/>
      <c r="Q144" s="59"/>
      <c r="R144" s="59"/>
    </row>
    <row r="145" spans="1:18" x14ac:dyDescent="0.25">
      <c r="A145" s="108"/>
      <c r="B145" s="111" t="s">
        <v>36</v>
      </c>
      <c r="C145" s="114" t="s">
        <v>37</v>
      </c>
      <c r="D145" s="115">
        <v>0.3</v>
      </c>
      <c r="E145" s="180">
        <v>120</v>
      </c>
      <c r="F145" s="185">
        <f t="shared" si="12"/>
        <v>36</v>
      </c>
      <c r="L145" s="37"/>
      <c r="M145" s="60"/>
      <c r="N145" s="50"/>
      <c r="O145" s="61"/>
      <c r="P145" s="75"/>
      <c r="Q145" s="59"/>
      <c r="R145" s="59"/>
    </row>
    <row r="146" spans="1:18" ht="30" x14ac:dyDescent="0.25">
      <c r="A146" s="122"/>
      <c r="B146" s="236" t="s">
        <v>209</v>
      </c>
      <c r="C146" s="237" t="s">
        <v>37</v>
      </c>
      <c r="D146" s="123">
        <v>0.8</v>
      </c>
      <c r="E146" s="182">
        <v>1200</v>
      </c>
      <c r="F146" s="185">
        <f t="shared" si="12"/>
        <v>960</v>
      </c>
      <c r="L146" s="37"/>
      <c r="M146" s="60"/>
      <c r="N146" s="50"/>
      <c r="O146" s="61"/>
      <c r="P146" s="75"/>
      <c r="Q146" s="59"/>
      <c r="R146" s="59"/>
    </row>
    <row r="147" spans="1:18" ht="15.75" thickBot="1" x14ac:dyDescent="0.3">
      <c r="A147" s="77"/>
      <c r="B147" s="138" t="s">
        <v>34</v>
      </c>
      <c r="C147" s="139" t="s">
        <v>35</v>
      </c>
      <c r="D147" s="140">
        <v>1.5</v>
      </c>
      <c r="E147" s="181">
        <v>1700</v>
      </c>
      <c r="F147" s="186">
        <f t="shared" ref="F147" si="13">ROUND(D147*E147,)</f>
        <v>2550</v>
      </c>
      <c r="L147" s="37"/>
      <c r="M147" s="60"/>
      <c r="N147" s="50"/>
      <c r="O147" s="61"/>
      <c r="P147" s="75"/>
      <c r="Q147" s="59"/>
      <c r="R147" s="59"/>
    </row>
    <row r="148" spans="1:18" ht="15.75" thickBot="1" x14ac:dyDescent="0.3">
      <c r="A148" s="6"/>
      <c r="B148" s="36"/>
      <c r="C148" s="37"/>
      <c r="D148" s="38"/>
      <c r="E148" s="39" t="s">
        <v>22</v>
      </c>
      <c r="F148" s="190">
        <f>SUM(F144:F147)</f>
        <v>3906</v>
      </c>
      <c r="L148" s="37"/>
      <c r="M148" s="60"/>
      <c r="N148" s="50"/>
      <c r="O148" s="61"/>
      <c r="P148" s="75"/>
      <c r="Q148" s="59"/>
      <c r="R148" s="59"/>
    </row>
    <row r="149" spans="1:18" ht="15.75" thickBot="1" x14ac:dyDescent="0.3">
      <c r="A149" s="6"/>
      <c r="B149" s="36"/>
      <c r="C149" s="37"/>
      <c r="D149" s="38"/>
      <c r="E149" s="37"/>
      <c r="F149" s="7"/>
      <c r="L149" s="37"/>
      <c r="M149" s="60"/>
      <c r="N149" s="50"/>
      <c r="O149" s="61"/>
      <c r="P149" s="75"/>
      <c r="Q149" s="59"/>
      <c r="R149" s="59"/>
    </row>
    <row r="150" spans="1:18" ht="15.75" thickBot="1" x14ac:dyDescent="0.3">
      <c r="A150" s="44" t="s">
        <v>23</v>
      </c>
      <c r="B150" s="45"/>
      <c r="C150" s="46"/>
      <c r="D150" s="47"/>
      <c r="E150" s="46"/>
      <c r="F150" s="48"/>
      <c r="L150" s="37"/>
      <c r="M150" s="60"/>
      <c r="N150" s="50"/>
      <c r="O150" s="61"/>
      <c r="P150" s="75"/>
      <c r="Q150" s="59"/>
      <c r="R150" s="59"/>
    </row>
    <row r="151" spans="1:18" x14ac:dyDescent="0.25">
      <c r="A151" s="92"/>
      <c r="B151" s="93"/>
      <c r="C151" s="94"/>
      <c r="D151" s="234"/>
      <c r="E151" s="182"/>
      <c r="F151" s="188">
        <f t="shared" ref="F151:F152" si="14">ROUND(D151*E151,)</f>
        <v>0</v>
      </c>
      <c r="L151" s="37"/>
      <c r="M151" s="60"/>
      <c r="N151" s="50"/>
      <c r="O151" s="61"/>
      <c r="P151" s="75"/>
      <c r="Q151" s="59"/>
      <c r="R151" s="59"/>
    </row>
    <row r="152" spans="1:18" ht="15.75" thickBot="1" x14ac:dyDescent="0.3">
      <c r="A152" s="30"/>
      <c r="B152" s="24"/>
      <c r="C152" s="25"/>
      <c r="D152" s="102"/>
      <c r="E152" s="181"/>
      <c r="F152" s="186">
        <f t="shared" si="14"/>
        <v>0</v>
      </c>
      <c r="L152" s="37"/>
      <c r="M152" s="60"/>
      <c r="N152" s="143"/>
      <c r="O152" s="61"/>
      <c r="P152" s="75"/>
      <c r="Q152" s="59"/>
      <c r="R152" s="59"/>
    </row>
    <row r="153" spans="1:18" ht="15.75" thickBot="1" x14ac:dyDescent="0.3">
      <c r="A153" s="6"/>
      <c r="B153" s="36"/>
      <c r="C153" s="37"/>
      <c r="D153" s="38"/>
      <c r="E153" s="39" t="s">
        <v>24</v>
      </c>
      <c r="F153" s="187">
        <f>SUM(F151:F152)</f>
        <v>0</v>
      </c>
      <c r="L153" s="37"/>
      <c r="M153" s="60"/>
      <c r="N153" s="50"/>
      <c r="O153" s="61"/>
      <c r="P153" s="75"/>
      <c r="Q153" s="59"/>
      <c r="R153" s="59"/>
    </row>
    <row r="154" spans="1:18" ht="15.75" thickBot="1" x14ac:dyDescent="0.3">
      <c r="A154" s="6"/>
      <c r="B154" s="36"/>
      <c r="C154" s="37"/>
      <c r="D154" s="38"/>
      <c r="E154" s="37"/>
      <c r="F154" s="7"/>
      <c r="L154" s="37"/>
      <c r="M154" s="60"/>
      <c r="N154" s="50"/>
      <c r="O154" s="61"/>
      <c r="P154" s="75"/>
      <c r="Q154" s="59"/>
      <c r="R154" s="59"/>
    </row>
    <row r="155" spans="1:18" ht="15.75" thickBot="1" x14ac:dyDescent="0.3">
      <c r="A155" s="69" t="s">
        <v>12</v>
      </c>
      <c r="B155" s="64" t="s">
        <v>25</v>
      </c>
      <c r="C155" s="65"/>
      <c r="D155" s="66"/>
      <c r="E155" s="67"/>
      <c r="F155" s="351">
        <f>+F153+F148+F141</f>
        <v>20436</v>
      </c>
      <c r="H155" s="126"/>
      <c r="L155" s="37"/>
      <c r="M155" s="60"/>
      <c r="N155" s="50"/>
      <c r="O155" s="61"/>
      <c r="P155" s="75"/>
      <c r="Q155" s="59"/>
      <c r="R155" s="59"/>
    </row>
    <row r="156" spans="1:18" ht="15.75" thickBot="1" x14ac:dyDescent="0.3">
      <c r="A156" s="37"/>
      <c r="B156" s="36"/>
      <c r="C156" s="37"/>
      <c r="D156" s="38"/>
      <c r="E156" s="37"/>
      <c r="F156" s="37"/>
      <c r="L156" s="37"/>
      <c r="M156" s="60"/>
      <c r="N156" s="50"/>
      <c r="O156" s="61"/>
      <c r="P156" s="75"/>
      <c r="Q156" s="59"/>
      <c r="R156" s="59"/>
    </row>
    <row r="157" spans="1:18" ht="30.75" customHeight="1" x14ac:dyDescent="0.25">
      <c r="A157" s="1" t="s">
        <v>47</v>
      </c>
      <c r="B157" s="355" t="s">
        <v>159</v>
      </c>
      <c r="C157" s="355"/>
      <c r="D157" s="355"/>
      <c r="E157" s="3"/>
      <c r="F157" s="5" t="s">
        <v>15</v>
      </c>
      <c r="K157" s="37"/>
      <c r="L157" s="39"/>
      <c r="M157" s="37"/>
      <c r="N157" s="143"/>
      <c r="O157" s="37"/>
      <c r="P157" s="37"/>
      <c r="Q157" s="37"/>
      <c r="R157" s="57"/>
    </row>
    <row r="158" spans="1:18" ht="15" customHeight="1" thickBot="1" x14ac:dyDescent="0.3">
      <c r="A158" s="70" t="s">
        <v>9</v>
      </c>
      <c r="B158" s="71">
        <v>1.7</v>
      </c>
      <c r="C158" s="10"/>
      <c r="D158" s="11"/>
      <c r="E158" s="10"/>
      <c r="F158" s="72" t="s">
        <v>26</v>
      </c>
      <c r="K158" s="37"/>
      <c r="L158" s="37"/>
      <c r="M158" s="37"/>
      <c r="N158" s="36"/>
      <c r="O158" s="37"/>
      <c r="P158" s="37"/>
      <c r="Q158" s="37"/>
      <c r="R158" s="37"/>
    </row>
    <row r="159" spans="1:18" ht="15.75" thickBot="1" x14ac:dyDescent="0.3">
      <c r="A159" s="6"/>
      <c r="B159" s="36"/>
      <c r="C159" s="37"/>
      <c r="D159" s="38"/>
      <c r="E159" s="37"/>
      <c r="F159" s="7"/>
      <c r="K159" s="37"/>
      <c r="L159" s="37"/>
      <c r="M159" s="39"/>
      <c r="N159" s="50"/>
      <c r="O159" s="37"/>
      <c r="P159" s="37"/>
      <c r="Q159" s="37"/>
      <c r="R159" s="37"/>
    </row>
    <row r="160" spans="1:18" ht="15.75" thickBot="1" x14ac:dyDescent="0.3">
      <c r="A160" s="33" t="s">
        <v>179</v>
      </c>
      <c r="B160" s="40" t="s">
        <v>47</v>
      </c>
      <c r="C160" s="34" t="s">
        <v>15</v>
      </c>
      <c r="D160" s="35" t="s">
        <v>16</v>
      </c>
      <c r="E160" s="34" t="s">
        <v>17</v>
      </c>
      <c r="F160" s="41" t="s">
        <v>18</v>
      </c>
      <c r="J160">
        <f>1.22*2.44</f>
        <v>2.9767999999999999</v>
      </c>
      <c r="K160" s="37"/>
      <c r="L160" s="57"/>
      <c r="M160" s="37"/>
      <c r="N160" s="36"/>
      <c r="O160" s="37"/>
      <c r="P160" s="37"/>
      <c r="Q160" s="37"/>
      <c r="R160" s="37"/>
    </row>
    <row r="161" spans="1:18" ht="15.75" thickBot="1" x14ac:dyDescent="0.3">
      <c r="A161" s="6"/>
      <c r="B161" s="36"/>
      <c r="C161" s="37"/>
      <c r="D161" s="38"/>
      <c r="E161" s="37"/>
      <c r="F161" s="7"/>
      <c r="K161" s="37"/>
      <c r="L161" s="37"/>
      <c r="M161" s="57"/>
      <c r="N161" s="74"/>
      <c r="O161" s="57"/>
      <c r="P161" s="57"/>
      <c r="Q161" s="57"/>
      <c r="R161" s="57"/>
    </row>
    <row r="162" spans="1:18" ht="15.75" thickBot="1" x14ac:dyDescent="0.3">
      <c r="A162" s="103" t="s">
        <v>19</v>
      </c>
      <c r="B162" s="104"/>
      <c r="C162" s="105"/>
      <c r="D162" s="106"/>
      <c r="E162" s="105"/>
      <c r="F162" s="194"/>
      <c r="J162">
        <f>1/J160</f>
        <v>0.33593120128997583</v>
      </c>
      <c r="K162" s="37"/>
      <c r="L162" s="39"/>
      <c r="M162" s="37"/>
      <c r="N162" s="36"/>
      <c r="O162" s="37"/>
      <c r="P162" s="37"/>
      <c r="Q162" s="37"/>
      <c r="R162" s="37"/>
    </row>
    <row r="163" spans="1:18" ht="27.75" customHeight="1" x14ac:dyDescent="0.25">
      <c r="A163" s="241"/>
      <c r="B163" s="96" t="s">
        <v>30</v>
      </c>
      <c r="C163" s="97" t="s">
        <v>29</v>
      </c>
      <c r="D163" s="20">
        <v>0.2</v>
      </c>
      <c r="E163" s="183">
        <v>164667</v>
      </c>
      <c r="F163" s="184">
        <f>ROUND(D163*E163,)</f>
        <v>32933</v>
      </c>
      <c r="J163">
        <f>J162*40900</f>
        <v>13739.586132760012</v>
      </c>
      <c r="K163" s="37"/>
      <c r="L163" s="60"/>
      <c r="M163" s="39"/>
      <c r="N163" s="53"/>
      <c r="O163" s="39"/>
      <c r="P163" s="39"/>
      <c r="Q163" s="39"/>
      <c r="R163" s="39"/>
    </row>
    <row r="164" spans="1:18" ht="15.75" thickBot="1" x14ac:dyDescent="0.3">
      <c r="A164" s="77"/>
      <c r="B164" s="78" t="s">
        <v>98</v>
      </c>
      <c r="C164" s="79" t="s">
        <v>29</v>
      </c>
      <c r="D164" s="80">
        <v>0.2</v>
      </c>
      <c r="E164" s="192">
        <v>133000</v>
      </c>
      <c r="F164" s="189">
        <f>ROUND(D164*E164,)</f>
        <v>26600</v>
      </c>
      <c r="K164" s="37"/>
      <c r="L164" s="37"/>
      <c r="M164" s="55"/>
      <c r="N164" s="56"/>
      <c r="O164" s="57"/>
      <c r="P164" s="75"/>
      <c r="Q164" s="59"/>
      <c r="R164" s="59"/>
    </row>
    <row r="165" spans="1:18" ht="15.75" thickBot="1" x14ac:dyDescent="0.3">
      <c r="A165" s="6"/>
      <c r="B165" s="36"/>
      <c r="C165" s="37"/>
      <c r="D165" s="38"/>
      <c r="E165" s="39" t="s">
        <v>20</v>
      </c>
      <c r="F165" s="187">
        <f>+F163+F164</f>
        <v>59533</v>
      </c>
      <c r="K165" s="37"/>
      <c r="L165" s="37"/>
      <c r="M165" s="60"/>
      <c r="N165" s="50"/>
      <c r="O165" s="61"/>
      <c r="P165" s="75"/>
      <c r="Q165" s="59"/>
      <c r="R165" s="59"/>
    </row>
    <row r="166" spans="1:18" ht="15.75" thickBot="1" x14ac:dyDescent="0.3">
      <c r="A166" s="6"/>
      <c r="B166" s="36"/>
      <c r="C166" s="37"/>
      <c r="D166" s="38"/>
      <c r="E166" s="37"/>
      <c r="F166" s="7"/>
      <c r="K166" s="37"/>
      <c r="L166" s="39"/>
      <c r="M166" s="37"/>
      <c r="N166" s="36"/>
      <c r="O166" s="37"/>
      <c r="P166" s="37"/>
      <c r="Q166" s="39"/>
      <c r="R166" s="59"/>
    </row>
    <row r="167" spans="1:18" ht="15.75" thickBot="1" x14ac:dyDescent="0.3">
      <c r="A167" s="1" t="s">
        <v>21</v>
      </c>
      <c r="B167" s="13"/>
      <c r="C167" s="14"/>
      <c r="D167" s="15"/>
      <c r="E167" s="14"/>
      <c r="F167" s="16"/>
      <c r="K167" s="37"/>
      <c r="L167" s="55"/>
      <c r="M167" s="37"/>
      <c r="N167" s="36"/>
      <c r="O167" s="37"/>
      <c r="P167" s="37"/>
      <c r="Q167" s="37"/>
      <c r="R167" s="37"/>
    </row>
    <row r="168" spans="1:18" ht="20.25" customHeight="1" x14ac:dyDescent="0.25">
      <c r="A168" s="103"/>
      <c r="B168" s="109" t="s">
        <v>211</v>
      </c>
      <c r="C168" s="110" t="s">
        <v>40</v>
      </c>
      <c r="D168" s="112">
        <v>0.3</v>
      </c>
      <c r="E168" s="183">
        <v>1200</v>
      </c>
      <c r="F168" s="184">
        <f t="shared" ref="F168:F171" si="15">ROUND(D168*E168,)</f>
        <v>360</v>
      </c>
      <c r="K168" s="37"/>
      <c r="L168" s="55"/>
      <c r="M168" s="39"/>
      <c r="N168" s="53"/>
      <c r="O168" s="39"/>
      <c r="P168" s="39"/>
      <c r="Q168" s="39"/>
      <c r="R168" s="39"/>
    </row>
    <row r="169" spans="1:18" x14ac:dyDescent="0.25">
      <c r="A169" s="122"/>
      <c r="B169" s="111" t="s">
        <v>36</v>
      </c>
      <c r="C169" s="114" t="s">
        <v>37</v>
      </c>
      <c r="D169" s="115">
        <v>0.3</v>
      </c>
      <c r="E169" s="180">
        <v>120</v>
      </c>
      <c r="F169" s="185">
        <f t="shared" si="15"/>
        <v>36</v>
      </c>
      <c r="K169" s="37"/>
      <c r="L169" s="55"/>
      <c r="M169" s="39"/>
      <c r="N169" s="53"/>
      <c r="O169" s="39"/>
      <c r="P169" s="39"/>
      <c r="Q169" s="39"/>
      <c r="R169" s="39"/>
    </row>
    <row r="170" spans="1:18" ht="30" x14ac:dyDescent="0.25">
      <c r="A170" s="122"/>
      <c r="B170" s="236" t="s">
        <v>209</v>
      </c>
      <c r="C170" s="237" t="s">
        <v>37</v>
      </c>
      <c r="D170" s="123">
        <v>0.8</v>
      </c>
      <c r="E170" s="182">
        <v>1200</v>
      </c>
      <c r="F170" s="185">
        <f t="shared" si="15"/>
        <v>960</v>
      </c>
      <c r="K170" s="37"/>
      <c r="L170" s="55"/>
      <c r="M170" s="39"/>
      <c r="N170" s="53"/>
      <c r="O170" s="39"/>
      <c r="P170" s="39"/>
      <c r="Q170" s="39"/>
      <c r="R170" s="39"/>
    </row>
    <row r="171" spans="1:18" ht="19.5" customHeight="1" x14ac:dyDescent="0.25">
      <c r="A171" s="108"/>
      <c r="B171" s="111" t="s">
        <v>34</v>
      </c>
      <c r="C171" s="114" t="s">
        <v>35</v>
      </c>
      <c r="D171" s="115">
        <v>1.5</v>
      </c>
      <c r="E171" s="180">
        <v>1700</v>
      </c>
      <c r="F171" s="185">
        <f t="shared" si="15"/>
        <v>2550</v>
      </c>
      <c r="K171" s="37"/>
      <c r="L171" s="55"/>
      <c r="M171" s="55"/>
      <c r="N171" s="56"/>
      <c r="O171" s="57"/>
      <c r="P171" s="75"/>
      <c r="Q171" s="59"/>
      <c r="R171" s="59"/>
    </row>
    <row r="172" spans="1:18" ht="15.75" thickBot="1" x14ac:dyDescent="0.3">
      <c r="A172" s="23"/>
      <c r="B172" s="78"/>
      <c r="C172" s="79"/>
      <c r="D172" s="80"/>
      <c r="E172" s="192"/>
      <c r="F172" s="189"/>
      <c r="K172" s="37"/>
      <c r="L172" s="60"/>
      <c r="M172" s="60"/>
      <c r="N172" s="50"/>
      <c r="O172" s="61"/>
      <c r="P172" s="58"/>
      <c r="Q172" s="59"/>
      <c r="R172" s="59"/>
    </row>
    <row r="173" spans="1:18" ht="15.75" thickBot="1" x14ac:dyDescent="0.3">
      <c r="A173" s="6"/>
      <c r="B173" s="36"/>
      <c r="C173" s="37"/>
      <c r="D173" s="38"/>
      <c r="E173" s="39" t="s">
        <v>22</v>
      </c>
      <c r="F173" s="187">
        <f>SUM(F168:F172)</f>
        <v>3906</v>
      </c>
      <c r="J173" s="37"/>
      <c r="K173" s="37"/>
      <c r="L173" s="60"/>
      <c r="M173" s="60"/>
      <c r="N173" s="50"/>
      <c r="O173" s="61"/>
      <c r="P173" s="58"/>
      <c r="Q173" s="59"/>
      <c r="R173" s="59"/>
    </row>
    <row r="174" spans="1:18" ht="15.75" thickBot="1" x14ac:dyDescent="0.3">
      <c r="A174" s="6"/>
      <c r="B174" s="36"/>
      <c r="C174" s="37"/>
      <c r="D174" s="38"/>
      <c r="E174" s="37"/>
      <c r="F174" s="7"/>
      <c r="K174" s="37"/>
      <c r="L174" s="37"/>
      <c r="M174" s="60"/>
      <c r="N174" s="50"/>
      <c r="O174" s="61"/>
      <c r="P174" s="58"/>
      <c r="Q174" s="59"/>
      <c r="R174" s="59"/>
    </row>
    <row r="175" spans="1:18" ht="15.75" thickBot="1" x14ac:dyDescent="0.3">
      <c r="A175" s="1" t="s">
        <v>23</v>
      </c>
      <c r="B175" s="13"/>
      <c r="C175" s="14"/>
      <c r="D175" s="15"/>
      <c r="E175" s="14"/>
      <c r="F175" s="16"/>
      <c r="K175" s="37"/>
      <c r="L175" s="37"/>
      <c r="M175" s="37"/>
      <c r="N175" s="36"/>
      <c r="O175" s="37"/>
      <c r="P175" s="37"/>
      <c r="Q175" s="39"/>
      <c r="R175" s="59"/>
    </row>
    <row r="176" spans="1:18" x14ac:dyDescent="0.25">
      <c r="A176" s="17"/>
      <c r="B176" s="18" t="s">
        <v>38</v>
      </c>
      <c r="C176" s="19" t="s">
        <v>95</v>
      </c>
      <c r="D176" s="20">
        <v>0.1</v>
      </c>
      <c r="E176" s="183">
        <v>9179.5</v>
      </c>
      <c r="F176" s="184">
        <f t="shared" ref="F176:F185" si="16">ROUND(D176*E176,)</f>
        <v>918</v>
      </c>
      <c r="K176" s="37"/>
      <c r="L176" s="39"/>
      <c r="M176" s="37"/>
      <c r="N176" s="36"/>
      <c r="O176" s="37"/>
      <c r="P176" s="37"/>
      <c r="Q176" s="37"/>
      <c r="R176" s="37"/>
    </row>
    <row r="177" spans="1:18" ht="30" x14ac:dyDescent="0.25">
      <c r="A177" s="91"/>
      <c r="B177" s="85" t="s">
        <v>214</v>
      </c>
      <c r="C177" s="86" t="s">
        <v>26</v>
      </c>
      <c r="D177" s="83">
        <v>0.33589999999999998</v>
      </c>
      <c r="E177" s="180">
        <v>40900</v>
      </c>
      <c r="F177" s="185">
        <f t="shared" si="16"/>
        <v>13738</v>
      </c>
      <c r="K177" s="37"/>
      <c r="L177" s="39"/>
      <c r="M177" s="39"/>
      <c r="N177" s="53"/>
      <c r="O177" s="39"/>
      <c r="P177" s="39"/>
      <c r="Q177" s="39"/>
      <c r="R177" s="39"/>
    </row>
    <row r="178" spans="1:18" x14ac:dyDescent="0.25">
      <c r="A178" s="91"/>
      <c r="B178" s="85" t="s">
        <v>41</v>
      </c>
      <c r="C178" s="86" t="s">
        <v>42</v>
      </c>
      <c r="D178" s="83">
        <v>0.04</v>
      </c>
      <c r="E178" s="180">
        <v>77980</v>
      </c>
      <c r="F178" s="185">
        <f t="shared" si="16"/>
        <v>3119</v>
      </c>
      <c r="K178" s="37"/>
      <c r="L178" s="39"/>
      <c r="M178" s="55"/>
      <c r="N178" s="56"/>
      <c r="O178" s="57"/>
      <c r="P178" s="75"/>
      <c r="Q178" s="59"/>
      <c r="R178" s="59"/>
    </row>
    <row r="179" spans="1:18" ht="30" x14ac:dyDescent="0.25">
      <c r="A179" s="91"/>
      <c r="B179" s="85" t="s">
        <v>215</v>
      </c>
      <c r="C179" s="86" t="s">
        <v>40</v>
      </c>
      <c r="D179" s="83">
        <v>0.45</v>
      </c>
      <c r="E179" s="180">
        <v>5682.5</v>
      </c>
      <c r="F179" s="185">
        <f t="shared" si="16"/>
        <v>2557</v>
      </c>
      <c r="K179" s="37"/>
      <c r="L179" s="39"/>
      <c r="M179" s="55"/>
      <c r="N179" s="50"/>
      <c r="O179" s="61"/>
      <c r="P179" s="75"/>
      <c r="Q179" s="59"/>
      <c r="R179" s="59"/>
    </row>
    <row r="180" spans="1:18" x14ac:dyDescent="0.25">
      <c r="A180" s="91"/>
      <c r="B180" s="85" t="s">
        <v>216</v>
      </c>
      <c r="C180" s="86" t="s">
        <v>40</v>
      </c>
      <c r="D180" s="83">
        <v>3</v>
      </c>
      <c r="E180" s="180">
        <v>222</v>
      </c>
      <c r="F180" s="185">
        <f t="shared" si="16"/>
        <v>666</v>
      </c>
      <c r="K180" s="37"/>
      <c r="L180" s="39"/>
      <c r="M180" s="60"/>
      <c r="N180" s="50"/>
      <c r="O180" s="61"/>
      <c r="P180" s="75"/>
      <c r="Q180" s="59"/>
      <c r="R180" s="59"/>
    </row>
    <row r="181" spans="1:18" x14ac:dyDescent="0.25">
      <c r="A181" s="91"/>
      <c r="B181" s="85" t="s">
        <v>43</v>
      </c>
      <c r="C181" s="86" t="s">
        <v>40</v>
      </c>
      <c r="D181" s="83">
        <v>2</v>
      </c>
      <c r="E181" s="180">
        <v>719</v>
      </c>
      <c r="F181" s="185">
        <f t="shared" si="16"/>
        <v>1438</v>
      </c>
      <c r="K181" s="37"/>
      <c r="L181" s="39"/>
      <c r="M181" s="60"/>
      <c r="N181" s="50"/>
      <c r="O181" s="61"/>
      <c r="P181" s="75"/>
      <c r="Q181" s="59"/>
      <c r="R181" s="59"/>
    </row>
    <row r="182" spans="1:18" ht="30" x14ac:dyDescent="0.25">
      <c r="A182" s="91"/>
      <c r="B182" s="85" t="s">
        <v>217</v>
      </c>
      <c r="C182" s="86" t="s">
        <v>40</v>
      </c>
      <c r="D182" s="83">
        <v>1.25</v>
      </c>
      <c r="E182" s="180">
        <v>5200</v>
      </c>
      <c r="F182" s="185">
        <f t="shared" si="16"/>
        <v>6500</v>
      </c>
      <c r="K182" s="37"/>
      <c r="L182" s="39"/>
      <c r="M182" s="37"/>
      <c r="N182" s="36"/>
      <c r="O182" s="37"/>
      <c r="P182" s="37"/>
      <c r="Q182" s="39"/>
      <c r="R182" s="59"/>
    </row>
    <row r="183" spans="1:18" ht="30.75" customHeight="1" x14ac:dyDescent="0.25">
      <c r="A183" s="91"/>
      <c r="B183" s="85" t="s">
        <v>44</v>
      </c>
      <c r="C183" s="86" t="s">
        <v>45</v>
      </c>
      <c r="D183" s="83">
        <v>7.0000000000000007E-2</v>
      </c>
      <c r="E183" s="180">
        <v>12900</v>
      </c>
      <c r="F183" s="185">
        <f t="shared" si="16"/>
        <v>903</v>
      </c>
      <c r="K183" s="37"/>
      <c r="L183" s="39"/>
      <c r="N183" s="73"/>
    </row>
    <row r="184" spans="1:18" x14ac:dyDescent="0.25">
      <c r="A184" s="91"/>
      <c r="B184" s="85" t="s">
        <v>46</v>
      </c>
      <c r="C184" s="86" t="s">
        <v>40</v>
      </c>
      <c r="D184" s="83">
        <v>1</v>
      </c>
      <c r="E184" s="180">
        <v>1900</v>
      </c>
      <c r="F184" s="185">
        <f t="shared" si="16"/>
        <v>1900</v>
      </c>
      <c r="K184" s="37"/>
      <c r="L184" s="39"/>
      <c r="M184" s="53"/>
      <c r="N184" s="143"/>
      <c r="O184" s="39"/>
      <c r="P184" s="39"/>
      <c r="Q184" s="39"/>
      <c r="R184" s="37"/>
    </row>
    <row r="185" spans="1:18" ht="28.5" customHeight="1" thickBot="1" x14ac:dyDescent="0.3">
      <c r="A185" s="30"/>
      <c r="B185" s="24" t="s">
        <v>218</v>
      </c>
      <c r="C185" s="25" t="s">
        <v>42</v>
      </c>
      <c r="D185" s="26">
        <v>0.06</v>
      </c>
      <c r="E185" s="181">
        <v>55700</v>
      </c>
      <c r="F185" s="186">
        <f t="shared" si="16"/>
        <v>3342</v>
      </c>
      <c r="K185" s="37"/>
      <c r="L185" s="39"/>
      <c r="M185" s="53"/>
      <c r="N185" s="39"/>
      <c r="O185" s="39"/>
      <c r="P185" s="39"/>
      <c r="Q185" s="39"/>
      <c r="R185" s="37"/>
    </row>
    <row r="186" spans="1:18" ht="15.75" thickBot="1" x14ac:dyDescent="0.3">
      <c r="A186" s="6"/>
      <c r="B186" s="36"/>
      <c r="C186" s="37"/>
      <c r="D186" s="38"/>
      <c r="E186" s="39" t="s">
        <v>24</v>
      </c>
      <c r="F186" s="190">
        <f>SUM(F176:F185)</f>
        <v>35081</v>
      </c>
      <c r="K186" s="37"/>
      <c r="L186" s="60"/>
      <c r="M186" s="50"/>
      <c r="N186" s="61"/>
      <c r="O186" s="75"/>
      <c r="P186" s="59"/>
      <c r="Q186" s="59"/>
      <c r="R186" s="37"/>
    </row>
    <row r="187" spans="1:18" ht="15.75" thickBot="1" x14ac:dyDescent="0.3">
      <c r="A187" s="6"/>
      <c r="B187" s="36"/>
      <c r="C187" s="37"/>
      <c r="D187" s="38"/>
      <c r="E187" s="39"/>
      <c r="F187" s="144"/>
      <c r="K187" s="37"/>
      <c r="L187" s="60"/>
      <c r="M187" s="50"/>
      <c r="N187" s="61"/>
      <c r="O187" s="75"/>
      <c r="P187" s="59"/>
      <c r="Q187" s="59"/>
      <c r="R187" s="37"/>
    </row>
    <row r="188" spans="1:18" ht="15.75" thickBot="1" x14ac:dyDescent="0.3">
      <c r="A188" s="69" t="s">
        <v>12</v>
      </c>
      <c r="B188" s="64" t="s">
        <v>25</v>
      </c>
      <c r="C188" s="65"/>
      <c r="D188" s="66"/>
      <c r="E188" s="67"/>
      <c r="F188" s="351">
        <f>+F186+F173+F165</f>
        <v>98520</v>
      </c>
      <c r="H188" s="126"/>
      <c r="K188" s="37"/>
      <c r="L188" s="60"/>
      <c r="M188" s="50"/>
      <c r="N188" s="61"/>
      <c r="O188" s="75"/>
      <c r="P188" s="59"/>
      <c r="Q188" s="59"/>
      <c r="R188" s="37"/>
    </row>
    <row r="189" spans="1:18" ht="15.75" thickBot="1" x14ac:dyDescent="0.3">
      <c r="K189" s="37"/>
      <c r="L189" s="60"/>
      <c r="M189" s="50"/>
      <c r="N189" s="61"/>
      <c r="O189" s="75"/>
      <c r="P189" s="59"/>
      <c r="Q189" s="59"/>
      <c r="R189" s="37"/>
    </row>
    <row r="190" spans="1:18" ht="31.5" customHeight="1" x14ac:dyDescent="0.25">
      <c r="A190" s="1" t="s">
        <v>47</v>
      </c>
      <c r="B190" s="355" t="s">
        <v>183</v>
      </c>
      <c r="C190" s="355"/>
      <c r="D190" s="355"/>
      <c r="E190" s="3"/>
      <c r="F190" s="5" t="s">
        <v>15</v>
      </c>
      <c r="K190" s="37"/>
      <c r="L190" s="60"/>
      <c r="M190" s="50"/>
      <c r="N190" s="61"/>
      <c r="O190" s="75"/>
      <c r="P190" s="59"/>
      <c r="Q190" s="59"/>
      <c r="R190" s="37"/>
    </row>
    <row r="191" spans="1:18" ht="15.75" thickBot="1" x14ac:dyDescent="0.3">
      <c r="A191" s="70" t="s">
        <v>9</v>
      </c>
      <c r="B191" s="267">
        <v>1.8</v>
      </c>
      <c r="C191" s="10"/>
      <c r="D191" s="11"/>
      <c r="E191" s="10"/>
      <c r="F191" s="72" t="s">
        <v>26</v>
      </c>
      <c r="K191" s="37"/>
      <c r="L191" s="60"/>
      <c r="M191" s="50"/>
      <c r="N191" s="61"/>
      <c r="O191" s="75"/>
      <c r="P191" s="59"/>
      <c r="Q191" s="59"/>
      <c r="R191" s="37"/>
    </row>
    <row r="192" spans="1:18" ht="15.75" thickBot="1" x14ac:dyDescent="0.3">
      <c r="A192" s="6"/>
      <c r="B192" s="36"/>
      <c r="C192" s="37"/>
      <c r="D192" s="38"/>
      <c r="E192" s="37"/>
      <c r="F192" s="7"/>
      <c r="K192" s="37"/>
      <c r="L192" s="60"/>
      <c r="M192" s="50"/>
      <c r="N192" s="61"/>
      <c r="O192" s="75"/>
      <c r="P192" s="59"/>
      <c r="Q192" s="59"/>
      <c r="R192" s="37"/>
    </row>
    <row r="193" spans="1:18" ht="15.75" thickBot="1" x14ac:dyDescent="0.3">
      <c r="A193" s="33" t="s">
        <v>179</v>
      </c>
      <c r="B193" s="40" t="s">
        <v>47</v>
      </c>
      <c r="C193" s="34" t="s">
        <v>15</v>
      </c>
      <c r="D193" s="35" t="s">
        <v>16</v>
      </c>
      <c r="E193" s="34" t="s">
        <v>17</v>
      </c>
      <c r="F193" s="41" t="s">
        <v>18</v>
      </c>
      <c r="K193" s="37"/>
      <c r="L193" s="60"/>
      <c r="M193" s="50"/>
      <c r="N193" s="61"/>
      <c r="O193" s="75"/>
      <c r="P193" s="59"/>
      <c r="Q193" s="59"/>
      <c r="R193" s="37"/>
    </row>
    <row r="194" spans="1:18" ht="15.75" thickBot="1" x14ac:dyDescent="0.3">
      <c r="A194" s="6"/>
      <c r="B194" s="36"/>
      <c r="C194" s="37"/>
      <c r="D194" s="38"/>
      <c r="E194" s="37"/>
      <c r="F194" s="7"/>
      <c r="K194" s="37"/>
      <c r="L194" s="60"/>
      <c r="M194" s="50"/>
      <c r="N194" s="61"/>
      <c r="O194" s="75"/>
      <c r="P194" s="59"/>
      <c r="Q194" s="59"/>
      <c r="R194" s="37"/>
    </row>
    <row r="195" spans="1:18" ht="15.75" thickBot="1" x14ac:dyDescent="0.3">
      <c r="A195" s="103" t="s">
        <v>19</v>
      </c>
      <c r="B195" s="104"/>
      <c r="C195" s="105"/>
      <c r="D195" s="106"/>
      <c r="E195" s="105"/>
      <c r="F195" s="107"/>
      <c r="K195" s="37"/>
      <c r="L195" s="60"/>
      <c r="M195" s="50"/>
      <c r="N195" s="61"/>
      <c r="O195" s="75"/>
      <c r="P195" s="59"/>
      <c r="Q195" s="59"/>
      <c r="R195" s="37"/>
    </row>
    <row r="196" spans="1:18" ht="30" x14ac:dyDescent="0.25">
      <c r="A196" s="241"/>
      <c r="B196" s="96" t="s">
        <v>30</v>
      </c>
      <c r="C196" s="97" t="s">
        <v>29</v>
      </c>
      <c r="D196" s="20">
        <v>0.2</v>
      </c>
      <c r="E196" s="183">
        <v>164667</v>
      </c>
      <c r="F196" s="184">
        <f>ROUND(D196*E196,)</f>
        <v>32933</v>
      </c>
      <c r="K196" s="37"/>
      <c r="L196" s="60"/>
      <c r="M196" s="50"/>
      <c r="N196" s="61"/>
      <c r="O196" s="75"/>
      <c r="P196" s="59"/>
      <c r="Q196" s="59"/>
      <c r="R196" s="37"/>
    </row>
    <row r="197" spans="1:18" ht="15.75" thickBot="1" x14ac:dyDescent="0.3">
      <c r="A197" s="77"/>
      <c r="B197" s="78" t="s">
        <v>98</v>
      </c>
      <c r="C197" s="79" t="s">
        <v>29</v>
      </c>
      <c r="D197" s="80">
        <v>0.2</v>
      </c>
      <c r="E197" s="192">
        <v>133000</v>
      </c>
      <c r="F197" s="189">
        <f>ROUND(D197*E197,)</f>
        <v>26600</v>
      </c>
      <c r="K197" s="37"/>
      <c r="L197" s="60"/>
      <c r="M197" s="50"/>
      <c r="N197" s="61"/>
      <c r="O197" s="75"/>
      <c r="P197" s="59"/>
      <c r="Q197" s="59"/>
      <c r="R197" s="37"/>
    </row>
    <row r="198" spans="1:18" ht="15.75" thickBot="1" x14ac:dyDescent="0.3">
      <c r="A198" s="6"/>
      <c r="B198" s="36"/>
      <c r="C198" s="37"/>
      <c r="D198" s="38"/>
      <c r="E198" s="39" t="s">
        <v>20</v>
      </c>
      <c r="F198" s="187">
        <f>+F196+F197</f>
        <v>59533</v>
      </c>
      <c r="K198" s="37"/>
      <c r="L198" s="60"/>
      <c r="M198" s="50"/>
      <c r="N198" s="61"/>
      <c r="O198" s="75"/>
      <c r="P198" s="59"/>
      <c r="Q198" s="59"/>
      <c r="R198" s="37"/>
    </row>
    <row r="199" spans="1:18" ht="15.75" thickBot="1" x14ac:dyDescent="0.3">
      <c r="A199" s="6"/>
      <c r="B199" s="36"/>
      <c r="C199" s="37"/>
      <c r="D199" s="38"/>
      <c r="E199" s="37"/>
      <c r="F199" s="7"/>
      <c r="K199" s="37"/>
      <c r="L199" s="60"/>
      <c r="M199" s="50"/>
      <c r="N199" s="61"/>
      <c r="O199" s="75"/>
      <c r="P199" s="59"/>
      <c r="Q199" s="59"/>
      <c r="R199" s="37"/>
    </row>
    <row r="200" spans="1:18" ht="15.75" thickBot="1" x14ac:dyDescent="0.3">
      <c r="A200" s="1" t="s">
        <v>21</v>
      </c>
      <c r="B200" s="13"/>
      <c r="C200" s="14"/>
      <c r="D200" s="15"/>
      <c r="E200" s="14"/>
      <c r="F200" s="16"/>
      <c r="K200" s="37"/>
      <c r="L200" s="60"/>
      <c r="M200" s="50"/>
      <c r="N200" s="61"/>
      <c r="O200" s="75"/>
      <c r="P200" s="59"/>
      <c r="Q200" s="59"/>
      <c r="R200" s="37"/>
    </row>
    <row r="201" spans="1:18" ht="30" x14ac:dyDescent="0.25">
      <c r="A201" s="103"/>
      <c r="B201" s="109" t="s">
        <v>211</v>
      </c>
      <c r="C201" s="110" t="s">
        <v>40</v>
      </c>
      <c r="D201" s="112">
        <v>0.3</v>
      </c>
      <c r="E201" s="183">
        <v>1200</v>
      </c>
      <c r="F201" s="184">
        <f t="shared" ref="F201:F204" si="17">ROUND(D201*E201,)</f>
        <v>360</v>
      </c>
      <c r="I201" s="39"/>
      <c r="J201" s="53"/>
      <c r="K201" s="37"/>
      <c r="L201" s="60"/>
      <c r="M201" s="50"/>
      <c r="N201" s="61"/>
      <c r="O201" s="75"/>
      <c r="P201" s="59"/>
      <c r="Q201" s="59"/>
      <c r="R201" s="37"/>
    </row>
    <row r="202" spans="1:18" x14ac:dyDescent="0.25">
      <c r="A202" s="122"/>
      <c r="B202" s="111" t="s">
        <v>36</v>
      </c>
      <c r="C202" s="114" t="s">
        <v>37</v>
      </c>
      <c r="D202" s="115">
        <v>0.3</v>
      </c>
      <c r="E202" s="180">
        <v>120</v>
      </c>
      <c r="F202" s="185">
        <f t="shared" si="17"/>
        <v>36</v>
      </c>
      <c r="I202" s="39"/>
      <c r="J202" s="53"/>
      <c r="K202" s="37"/>
      <c r="L202" s="60"/>
      <c r="M202" s="50"/>
      <c r="N202" s="61"/>
      <c r="O202" s="75"/>
      <c r="P202" s="59"/>
      <c r="Q202" s="59"/>
      <c r="R202" s="37"/>
    </row>
    <row r="203" spans="1:18" ht="19.5" customHeight="1" x14ac:dyDescent="0.25">
      <c r="A203" s="108"/>
      <c r="B203" s="236" t="s">
        <v>209</v>
      </c>
      <c r="C203" s="237" t="s">
        <v>37</v>
      </c>
      <c r="D203" s="123">
        <v>0.8</v>
      </c>
      <c r="E203" s="182">
        <v>1200</v>
      </c>
      <c r="F203" s="185">
        <f t="shared" si="17"/>
        <v>960</v>
      </c>
      <c r="K203" s="37"/>
      <c r="L203" s="60"/>
      <c r="M203" s="50"/>
      <c r="N203" s="61"/>
      <c r="O203" s="75"/>
      <c r="P203" s="59"/>
      <c r="Q203" s="59"/>
      <c r="R203" s="37"/>
    </row>
    <row r="204" spans="1:18" ht="15.75" thickBot="1" x14ac:dyDescent="0.3">
      <c r="A204" s="23"/>
      <c r="B204" s="138" t="s">
        <v>34</v>
      </c>
      <c r="C204" s="139" t="s">
        <v>35</v>
      </c>
      <c r="D204" s="140">
        <v>1.5</v>
      </c>
      <c r="E204" s="181">
        <v>1700</v>
      </c>
      <c r="F204" s="186">
        <f t="shared" si="17"/>
        <v>2550</v>
      </c>
      <c r="K204" s="37"/>
      <c r="L204" s="60"/>
      <c r="M204" s="50"/>
      <c r="N204" s="61"/>
      <c r="O204" s="75"/>
      <c r="P204" s="59"/>
      <c r="Q204" s="59"/>
      <c r="R204" s="37"/>
    </row>
    <row r="205" spans="1:18" ht="15.75" thickBot="1" x14ac:dyDescent="0.3">
      <c r="A205" s="6"/>
      <c r="B205" s="36"/>
      <c r="C205" s="37"/>
      <c r="D205" s="38"/>
      <c r="E205" s="39" t="s">
        <v>22</v>
      </c>
      <c r="F205" s="187">
        <f>SUM(F201:F204)</f>
        <v>3906</v>
      </c>
      <c r="K205" s="37"/>
      <c r="L205" s="60"/>
      <c r="M205" s="50"/>
      <c r="N205" s="61"/>
      <c r="O205" s="75"/>
      <c r="P205" s="59"/>
      <c r="Q205" s="59"/>
      <c r="R205" s="37"/>
    </row>
    <row r="206" spans="1:18" ht="15.75" thickBot="1" x14ac:dyDescent="0.3">
      <c r="A206" s="6"/>
      <c r="B206" s="36"/>
      <c r="C206" s="37"/>
      <c r="D206" s="38"/>
      <c r="E206" s="37"/>
      <c r="F206" s="7"/>
      <c r="K206" s="37"/>
      <c r="L206" s="60"/>
      <c r="M206" s="50"/>
      <c r="N206" s="61"/>
      <c r="O206" s="75"/>
      <c r="P206" s="59"/>
      <c r="Q206" s="59"/>
      <c r="R206" s="37"/>
    </row>
    <row r="207" spans="1:18" ht="15.75" thickBot="1" x14ac:dyDescent="0.3">
      <c r="A207" s="1" t="s">
        <v>23</v>
      </c>
      <c r="B207" s="13"/>
      <c r="C207" s="14"/>
      <c r="D207" s="15"/>
      <c r="E207" s="14"/>
      <c r="F207" s="16"/>
      <c r="K207" s="37"/>
      <c r="L207" s="60"/>
      <c r="M207" s="50"/>
      <c r="N207" s="61"/>
      <c r="O207" s="75"/>
      <c r="P207" s="59"/>
      <c r="Q207" s="59"/>
      <c r="R207" s="37"/>
    </row>
    <row r="208" spans="1:18" x14ac:dyDescent="0.25">
      <c r="A208" s="17"/>
      <c r="B208" s="18" t="s">
        <v>38</v>
      </c>
      <c r="C208" s="19" t="s">
        <v>39</v>
      </c>
      <c r="D208" s="20">
        <v>0.1</v>
      </c>
      <c r="E208" s="183">
        <v>9179.5</v>
      </c>
      <c r="F208" s="184">
        <f t="shared" ref="F208:F217" si="18">ROUND(D208*E208,)</f>
        <v>918</v>
      </c>
      <c r="K208" s="37"/>
      <c r="L208" s="60"/>
      <c r="M208" s="50"/>
      <c r="N208" s="61"/>
      <c r="O208" s="75"/>
      <c r="P208" s="59"/>
      <c r="Q208" s="59"/>
      <c r="R208" s="37"/>
    </row>
    <row r="209" spans="1:18" x14ac:dyDescent="0.25">
      <c r="A209" s="91"/>
      <c r="B209" s="239" t="s">
        <v>219</v>
      </c>
      <c r="C209" s="86" t="s">
        <v>26</v>
      </c>
      <c r="D209" s="83">
        <v>0.33589999999999998</v>
      </c>
      <c r="E209" s="180">
        <v>40900</v>
      </c>
      <c r="F209" s="185">
        <f t="shared" si="18"/>
        <v>13738</v>
      </c>
      <c r="K209" s="37"/>
      <c r="L209" s="60"/>
      <c r="M209" s="50"/>
      <c r="N209" s="61"/>
      <c r="O209" s="75"/>
      <c r="P209" s="59"/>
      <c r="Q209" s="59"/>
      <c r="R209" s="37"/>
    </row>
    <row r="210" spans="1:18" x14ac:dyDescent="0.25">
      <c r="A210" s="91"/>
      <c r="B210" s="239" t="s">
        <v>41</v>
      </c>
      <c r="C210" s="86" t="s">
        <v>42</v>
      </c>
      <c r="D210" s="83">
        <v>0.04</v>
      </c>
      <c r="E210" s="180">
        <v>77980</v>
      </c>
      <c r="F210" s="185">
        <f t="shared" si="18"/>
        <v>3119</v>
      </c>
      <c r="K210" s="37"/>
      <c r="L210" s="60"/>
      <c r="M210" s="50"/>
      <c r="N210" s="61"/>
      <c r="O210" s="75"/>
      <c r="P210" s="59"/>
      <c r="Q210" s="59"/>
      <c r="R210" s="37"/>
    </row>
    <row r="211" spans="1:18" ht="30" x14ac:dyDescent="0.25">
      <c r="A211" s="91"/>
      <c r="B211" s="239" t="s">
        <v>215</v>
      </c>
      <c r="C211" s="86" t="s">
        <v>40</v>
      </c>
      <c r="D211" s="83">
        <v>0.45</v>
      </c>
      <c r="E211" s="180">
        <v>5682.5</v>
      </c>
      <c r="F211" s="185">
        <f t="shared" si="18"/>
        <v>2557</v>
      </c>
      <c r="K211" s="37"/>
      <c r="L211" s="60"/>
      <c r="M211" s="50"/>
      <c r="N211" s="61"/>
      <c r="O211" s="75"/>
      <c r="P211" s="59"/>
      <c r="Q211" s="59"/>
      <c r="R211" s="37"/>
    </row>
    <row r="212" spans="1:18" x14ac:dyDescent="0.25">
      <c r="A212" s="91"/>
      <c r="B212" s="239" t="s">
        <v>216</v>
      </c>
      <c r="C212" s="86" t="s">
        <v>40</v>
      </c>
      <c r="D212" s="83">
        <v>3</v>
      </c>
      <c r="E212" s="180">
        <v>222</v>
      </c>
      <c r="F212" s="185">
        <f t="shared" si="18"/>
        <v>666</v>
      </c>
      <c r="K212" s="37"/>
      <c r="L212" s="60"/>
      <c r="M212" s="50"/>
      <c r="N212" s="61"/>
      <c r="O212" s="75"/>
      <c r="P212" s="59"/>
      <c r="Q212" s="59"/>
      <c r="R212" s="37"/>
    </row>
    <row r="213" spans="1:18" x14ac:dyDescent="0.25">
      <c r="A213" s="91"/>
      <c r="B213" s="239" t="s">
        <v>43</v>
      </c>
      <c r="C213" s="86" t="s">
        <v>40</v>
      </c>
      <c r="D213" s="83">
        <v>2</v>
      </c>
      <c r="E213" s="180">
        <v>719</v>
      </c>
      <c r="F213" s="185">
        <f t="shared" si="18"/>
        <v>1438</v>
      </c>
      <c r="K213" s="37"/>
      <c r="L213" s="60"/>
      <c r="M213" s="50"/>
      <c r="N213" s="61"/>
      <c r="O213" s="75"/>
      <c r="P213" s="59"/>
      <c r="Q213" s="59"/>
      <c r="R213" s="37"/>
    </row>
    <row r="214" spans="1:18" ht="30" x14ac:dyDescent="0.25">
      <c r="A214" s="91"/>
      <c r="B214" s="239" t="s">
        <v>220</v>
      </c>
      <c r="C214" s="86" t="s">
        <v>40</v>
      </c>
      <c r="D214" s="83">
        <v>1.25</v>
      </c>
      <c r="E214" s="180">
        <v>5200</v>
      </c>
      <c r="F214" s="185">
        <f t="shared" si="18"/>
        <v>6500</v>
      </c>
      <c r="K214" s="37"/>
      <c r="L214" s="60"/>
      <c r="M214" s="50"/>
      <c r="N214" s="61"/>
      <c r="O214" s="75"/>
      <c r="P214" s="59"/>
      <c r="Q214" s="59"/>
      <c r="R214" s="37"/>
    </row>
    <row r="215" spans="1:18" ht="36" customHeight="1" x14ac:dyDescent="0.25">
      <c r="A215" s="91"/>
      <c r="B215" s="239" t="s">
        <v>44</v>
      </c>
      <c r="C215" s="86" t="s">
        <v>45</v>
      </c>
      <c r="D215" s="83">
        <v>7.0000000000000007E-2</v>
      </c>
      <c r="E215" s="180">
        <v>12900</v>
      </c>
      <c r="F215" s="185">
        <f t="shared" si="18"/>
        <v>903</v>
      </c>
      <c r="K215" s="37"/>
      <c r="L215" s="60"/>
      <c r="M215" s="50"/>
      <c r="N215" s="61"/>
      <c r="O215" s="75"/>
      <c r="P215" s="59"/>
      <c r="Q215" s="59"/>
      <c r="R215" s="37"/>
    </row>
    <row r="216" spans="1:18" x14ac:dyDescent="0.25">
      <c r="A216" s="91"/>
      <c r="B216" s="239" t="s">
        <v>46</v>
      </c>
      <c r="C216" s="86" t="s">
        <v>40</v>
      </c>
      <c r="D216" s="83">
        <v>1</v>
      </c>
      <c r="E216" s="180">
        <v>1900</v>
      </c>
      <c r="F216" s="185">
        <f t="shared" si="18"/>
        <v>1900</v>
      </c>
      <c r="K216" s="37"/>
      <c r="L216" s="60"/>
      <c r="M216" s="50"/>
      <c r="N216" s="61"/>
      <c r="O216" s="75"/>
      <c r="P216" s="59"/>
      <c r="Q216" s="59"/>
      <c r="R216" s="37"/>
    </row>
    <row r="217" spans="1:18" ht="31.5" customHeight="1" thickBot="1" x14ac:dyDescent="0.3">
      <c r="A217" s="30"/>
      <c r="B217" s="24" t="s">
        <v>218</v>
      </c>
      <c r="C217" s="25" t="s">
        <v>42</v>
      </c>
      <c r="D217" s="26">
        <v>0.06</v>
      </c>
      <c r="E217" s="181">
        <v>55700</v>
      </c>
      <c r="F217" s="186">
        <f t="shared" si="18"/>
        <v>3342</v>
      </c>
      <c r="K217" s="37"/>
      <c r="L217" s="60"/>
      <c r="M217" s="50"/>
      <c r="N217" s="61"/>
      <c r="O217" s="75"/>
      <c r="P217" s="59"/>
      <c r="Q217" s="59"/>
      <c r="R217" s="37"/>
    </row>
    <row r="218" spans="1:18" ht="15.75" thickBot="1" x14ac:dyDescent="0.3">
      <c r="A218" s="6"/>
      <c r="B218" s="36"/>
      <c r="C218" s="37"/>
      <c r="D218" s="38"/>
      <c r="E218" s="39" t="s">
        <v>24</v>
      </c>
      <c r="F218" s="190">
        <f>SUM(F208:F217)</f>
        <v>35081</v>
      </c>
      <c r="K218" s="37"/>
      <c r="L218" s="60"/>
      <c r="M218" s="50"/>
      <c r="N218" s="143"/>
      <c r="O218" s="75"/>
      <c r="P218" s="59"/>
      <c r="Q218" s="59"/>
      <c r="R218" s="37"/>
    </row>
    <row r="219" spans="1:18" ht="15.75" thickBot="1" x14ac:dyDescent="0.3">
      <c r="A219" s="6"/>
      <c r="B219" s="36"/>
      <c r="C219" s="37"/>
      <c r="D219" s="38"/>
      <c r="E219" s="39"/>
      <c r="F219" s="160"/>
      <c r="K219" s="37"/>
      <c r="L219" s="60"/>
      <c r="M219" s="50"/>
      <c r="N219" s="143"/>
      <c r="O219" s="75"/>
      <c r="P219" s="59"/>
      <c r="Q219" s="59"/>
      <c r="R219" s="37"/>
    </row>
    <row r="220" spans="1:18" ht="15.75" thickBot="1" x14ac:dyDescent="0.3">
      <c r="A220" s="69" t="s">
        <v>12</v>
      </c>
      <c r="B220" s="64" t="s">
        <v>25</v>
      </c>
      <c r="C220" s="65"/>
      <c r="D220" s="66"/>
      <c r="E220" s="67"/>
      <c r="F220" s="351">
        <f>+F218+F205+F198</f>
        <v>98520</v>
      </c>
      <c r="H220" s="126"/>
      <c r="K220" s="37"/>
      <c r="L220" s="60"/>
      <c r="M220" s="50"/>
      <c r="N220" s="61"/>
      <c r="O220" s="75"/>
      <c r="P220" s="59"/>
      <c r="Q220" s="59"/>
      <c r="R220" s="37"/>
    </row>
    <row r="221" spans="1:18" ht="15.75" thickBot="1" x14ac:dyDescent="0.3">
      <c r="K221" s="37"/>
      <c r="L221" s="60"/>
      <c r="M221" s="50"/>
      <c r="N221" s="61"/>
      <c r="O221" s="75"/>
      <c r="P221" s="59"/>
      <c r="Q221" s="59"/>
      <c r="R221" s="37"/>
    </row>
    <row r="222" spans="1:18" ht="27.75" customHeight="1" x14ac:dyDescent="0.25">
      <c r="A222" s="1" t="s">
        <v>47</v>
      </c>
      <c r="B222" s="356" t="s">
        <v>197</v>
      </c>
      <c r="C222" s="356"/>
      <c r="D222" s="356"/>
      <c r="E222" s="3"/>
      <c r="F222" s="146" t="s">
        <v>15</v>
      </c>
      <c r="K222" s="37"/>
      <c r="L222" s="60"/>
      <c r="M222" s="50"/>
      <c r="N222" s="61"/>
      <c r="O222" s="75"/>
      <c r="P222" s="59"/>
      <c r="Q222" s="59"/>
      <c r="R222" s="37"/>
    </row>
    <row r="223" spans="1:18" ht="15.75" thickBot="1" x14ac:dyDescent="0.3">
      <c r="A223" s="70" t="s">
        <v>9</v>
      </c>
      <c r="B223" s="71">
        <v>1.9</v>
      </c>
      <c r="C223" s="10"/>
      <c r="D223" s="11"/>
      <c r="E223" s="10"/>
      <c r="F223" s="145" t="s">
        <v>26</v>
      </c>
      <c r="K223" s="37"/>
      <c r="L223" s="60"/>
      <c r="M223" s="50"/>
      <c r="N223" s="61"/>
      <c r="O223" s="75"/>
      <c r="P223" s="59"/>
      <c r="Q223" s="59"/>
      <c r="R223" s="37"/>
    </row>
    <row r="224" spans="1:18" ht="15.75" thickBot="1" x14ac:dyDescent="0.3">
      <c r="A224" s="8"/>
      <c r="B224" s="9"/>
      <c r="C224" s="10"/>
      <c r="D224" s="11"/>
      <c r="E224" s="10"/>
      <c r="F224" s="12"/>
      <c r="K224" s="37"/>
      <c r="L224" s="60"/>
      <c r="M224" s="50"/>
      <c r="N224" s="61"/>
      <c r="O224" s="75"/>
      <c r="P224" s="59"/>
      <c r="Q224" s="59"/>
      <c r="R224" s="37"/>
    </row>
    <row r="225" spans="1:18" ht="15.75" thickBot="1" x14ac:dyDescent="0.3">
      <c r="A225" s="33" t="s">
        <v>179</v>
      </c>
      <c r="B225" s="40" t="s">
        <v>47</v>
      </c>
      <c r="C225" s="34" t="s">
        <v>15</v>
      </c>
      <c r="D225" s="35" t="s">
        <v>16</v>
      </c>
      <c r="E225" s="34" t="s">
        <v>17</v>
      </c>
      <c r="F225" s="41" t="s">
        <v>18</v>
      </c>
      <c r="K225" s="37"/>
      <c r="L225" s="60"/>
      <c r="M225" s="50"/>
      <c r="N225" s="61"/>
      <c r="O225" s="75"/>
      <c r="P225" s="59"/>
      <c r="Q225" s="59"/>
      <c r="R225" s="37"/>
    </row>
    <row r="226" spans="1:18" ht="15.75" thickBot="1" x14ac:dyDescent="0.3">
      <c r="A226" s="6"/>
      <c r="B226" s="36"/>
      <c r="C226" s="37"/>
      <c r="D226" s="38"/>
      <c r="E226" s="37"/>
      <c r="F226" s="7"/>
      <c r="K226" s="37"/>
      <c r="L226" s="60"/>
      <c r="M226" s="50"/>
      <c r="N226" s="61"/>
      <c r="O226" s="75"/>
      <c r="P226" s="59"/>
      <c r="Q226" s="59"/>
      <c r="R226" s="37"/>
    </row>
    <row r="227" spans="1:18" ht="15.75" thickBot="1" x14ac:dyDescent="0.3">
      <c r="A227" s="1" t="s">
        <v>19</v>
      </c>
      <c r="B227" s="13"/>
      <c r="C227" s="14"/>
      <c r="D227" s="15"/>
      <c r="E227" s="14"/>
      <c r="F227" s="16"/>
      <c r="K227" s="37"/>
      <c r="L227" s="60"/>
      <c r="M227" s="50"/>
      <c r="N227" s="61"/>
      <c r="O227" s="75"/>
      <c r="P227" s="59"/>
      <c r="Q227" s="59"/>
      <c r="R227" s="37"/>
    </row>
    <row r="228" spans="1:18" ht="28.5" customHeight="1" x14ac:dyDescent="0.25">
      <c r="A228" s="241"/>
      <c r="B228" s="96" t="s">
        <v>30</v>
      </c>
      <c r="C228" s="97" t="s">
        <v>29</v>
      </c>
      <c r="D228" s="20">
        <v>4.4999999999999998E-2</v>
      </c>
      <c r="E228" s="183">
        <v>164667</v>
      </c>
      <c r="F228" s="184">
        <f>ROUND(D228*E228,)</f>
        <v>7410</v>
      </c>
      <c r="K228" s="37"/>
      <c r="L228" s="60"/>
      <c r="M228" s="50"/>
      <c r="N228" s="61"/>
      <c r="O228" s="75"/>
      <c r="P228" s="59"/>
      <c r="Q228" s="59"/>
      <c r="R228" s="37"/>
    </row>
    <row r="229" spans="1:18" ht="22.5" customHeight="1" thickBot="1" x14ac:dyDescent="0.3">
      <c r="A229" s="77"/>
      <c r="B229" s="78" t="s">
        <v>98</v>
      </c>
      <c r="C229" s="79" t="s">
        <v>29</v>
      </c>
      <c r="D229" s="80">
        <v>3.5000000000000003E-2</v>
      </c>
      <c r="E229" s="192">
        <v>133000</v>
      </c>
      <c r="F229" s="189">
        <f>ROUND(D229*E229,)</f>
        <v>4655</v>
      </c>
      <c r="K229" s="37"/>
      <c r="L229" s="60"/>
      <c r="M229" s="50"/>
      <c r="N229" s="61"/>
      <c r="O229" s="75"/>
      <c r="P229" s="59"/>
      <c r="Q229" s="59"/>
      <c r="R229" s="37"/>
    </row>
    <row r="230" spans="1:18" ht="15.75" thickBot="1" x14ac:dyDescent="0.3">
      <c r="A230" s="6"/>
      <c r="B230" s="36"/>
      <c r="C230" s="37"/>
      <c r="D230" s="38"/>
      <c r="E230" s="39" t="s">
        <v>20</v>
      </c>
      <c r="F230" s="187">
        <f>SUM(F228:F229)</f>
        <v>12065</v>
      </c>
      <c r="K230" s="37"/>
      <c r="L230" s="60"/>
      <c r="M230" s="50"/>
      <c r="N230" s="61"/>
      <c r="O230" s="75"/>
      <c r="P230" s="59"/>
      <c r="Q230" s="59"/>
      <c r="R230" s="37"/>
    </row>
    <row r="231" spans="1:18" ht="15.75" thickBot="1" x14ac:dyDescent="0.3">
      <c r="A231" s="6"/>
      <c r="B231" s="36"/>
      <c r="C231" s="37"/>
      <c r="D231" s="38"/>
      <c r="E231" s="37"/>
      <c r="F231" s="7"/>
      <c r="K231" s="37"/>
      <c r="L231" s="60"/>
      <c r="M231" s="50"/>
      <c r="N231" s="61"/>
      <c r="O231" s="75"/>
      <c r="P231" s="59"/>
      <c r="Q231" s="59"/>
      <c r="R231" s="37"/>
    </row>
    <row r="232" spans="1:18" ht="15.75" thickBot="1" x14ac:dyDescent="0.3">
      <c r="A232" s="1" t="s">
        <v>21</v>
      </c>
      <c r="B232" s="13"/>
      <c r="C232" s="14"/>
      <c r="D232" s="15"/>
      <c r="E232" s="14"/>
      <c r="F232" s="16"/>
      <c r="K232" s="37"/>
      <c r="L232" s="60"/>
      <c r="M232" s="50"/>
      <c r="N232" s="61"/>
      <c r="O232" s="75"/>
      <c r="P232" s="59"/>
      <c r="Q232" s="59"/>
      <c r="R232" s="37"/>
    </row>
    <row r="233" spans="1:18" ht="18" customHeight="1" x14ac:dyDescent="0.25">
      <c r="A233" s="103"/>
      <c r="B233" s="96" t="s">
        <v>34</v>
      </c>
      <c r="C233" s="97" t="s">
        <v>35</v>
      </c>
      <c r="D233" s="20">
        <v>1.5</v>
      </c>
      <c r="E233" s="183">
        <v>1700</v>
      </c>
      <c r="F233" s="184">
        <f t="shared" ref="F233:F236" si="19">ROUND(D233*E233,)</f>
        <v>2550</v>
      </c>
      <c r="K233" s="37"/>
      <c r="L233" s="60"/>
      <c r="M233" s="50"/>
      <c r="N233" s="61"/>
      <c r="O233" s="75"/>
      <c r="P233" s="59"/>
      <c r="Q233" s="59"/>
      <c r="R233" s="37"/>
    </row>
    <row r="234" spans="1:18" ht="30" x14ac:dyDescent="0.25">
      <c r="A234" s="108"/>
      <c r="B234" s="236" t="s">
        <v>209</v>
      </c>
      <c r="C234" s="237" t="s">
        <v>37</v>
      </c>
      <c r="D234" s="123">
        <v>0.8</v>
      </c>
      <c r="E234" s="182">
        <v>1200</v>
      </c>
      <c r="F234" s="185">
        <f t="shared" si="19"/>
        <v>960</v>
      </c>
      <c r="K234" s="37"/>
      <c r="L234" s="60"/>
      <c r="M234" s="50"/>
      <c r="N234" s="61"/>
      <c r="O234" s="75"/>
      <c r="P234" s="59"/>
      <c r="Q234" s="59"/>
      <c r="R234" s="37"/>
    </row>
    <row r="235" spans="1:18" ht="17.25" customHeight="1" x14ac:dyDescent="0.25">
      <c r="A235" s="108"/>
      <c r="B235" s="85" t="s">
        <v>211</v>
      </c>
      <c r="C235" s="86" t="s">
        <v>40</v>
      </c>
      <c r="D235" s="83">
        <v>0.8</v>
      </c>
      <c r="E235" s="180">
        <v>1200</v>
      </c>
      <c r="F235" s="185">
        <f t="shared" si="19"/>
        <v>960</v>
      </c>
      <c r="K235" s="37"/>
      <c r="L235" s="60"/>
      <c r="M235" s="50"/>
      <c r="N235" s="61"/>
      <c r="O235" s="75"/>
      <c r="P235" s="59"/>
      <c r="Q235" s="59"/>
      <c r="R235" s="37"/>
    </row>
    <row r="236" spans="1:18" ht="15.75" thickBot="1" x14ac:dyDescent="0.3">
      <c r="A236" s="77"/>
      <c r="B236" s="24" t="s">
        <v>36</v>
      </c>
      <c r="C236" s="25" t="s">
        <v>37</v>
      </c>
      <c r="D236" s="26">
        <v>0.8</v>
      </c>
      <c r="E236" s="181">
        <v>120</v>
      </c>
      <c r="F236" s="186">
        <f t="shared" si="19"/>
        <v>96</v>
      </c>
      <c r="K236" s="37"/>
      <c r="L236" s="60"/>
      <c r="M236" s="50"/>
      <c r="N236" s="61"/>
      <c r="O236" s="75"/>
      <c r="P236" s="59"/>
      <c r="Q236" s="59"/>
      <c r="R236" s="37"/>
    </row>
    <row r="237" spans="1:18" ht="15.75" thickBot="1" x14ac:dyDescent="0.3">
      <c r="A237" s="6"/>
      <c r="B237" s="36"/>
      <c r="C237" s="37"/>
      <c r="D237" s="38"/>
      <c r="E237" s="39" t="s">
        <v>22</v>
      </c>
      <c r="F237" s="190">
        <f>SUM(F233:F236)</f>
        <v>4566</v>
      </c>
      <c r="K237" s="37"/>
      <c r="L237" s="60"/>
      <c r="M237" s="50"/>
      <c r="N237" s="61"/>
      <c r="O237" s="75"/>
      <c r="P237" s="59"/>
      <c r="Q237" s="59"/>
      <c r="R237" s="37"/>
    </row>
    <row r="238" spans="1:18" ht="15.75" thickBot="1" x14ac:dyDescent="0.3">
      <c r="A238" s="6"/>
      <c r="B238" s="36"/>
      <c r="C238" s="37"/>
      <c r="D238" s="38"/>
      <c r="E238" s="37"/>
      <c r="F238" s="7"/>
      <c r="K238" s="37"/>
      <c r="L238" s="60"/>
      <c r="M238" s="50"/>
      <c r="N238" s="61"/>
      <c r="O238" s="75"/>
      <c r="P238" s="59"/>
      <c r="Q238" s="59"/>
      <c r="R238" s="37"/>
    </row>
    <row r="239" spans="1:18" ht="15.75" thickBot="1" x14ac:dyDescent="0.3">
      <c r="A239" s="1" t="s">
        <v>23</v>
      </c>
      <c r="B239" s="13"/>
      <c r="C239" s="14"/>
      <c r="D239" s="15"/>
      <c r="E239" s="14"/>
      <c r="F239" s="16"/>
      <c r="K239" s="37"/>
      <c r="L239" s="60"/>
      <c r="M239" s="50"/>
      <c r="N239" s="61"/>
      <c r="O239" s="75"/>
      <c r="P239" s="59"/>
      <c r="Q239" s="59"/>
      <c r="R239" s="37"/>
    </row>
    <row r="240" spans="1:18" x14ac:dyDescent="0.25">
      <c r="A240" s="17"/>
      <c r="B240" s="96"/>
      <c r="C240" s="97"/>
      <c r="D240" s="101"/>
      <c r="E240" s="183"/>
      <c r="F240" s="184"/>
      <c r="K240" s="37"/>
      <c r="L240" s="60"/>
      <c r="M240" s="50"/>
      <c r="N240" s="61"/>
      <c r="O240" s="75"/>
      <c r="P240" s="59"/>
      <c r="Q240" s="59"/>
      <c r="R240" s="37"/>
    </row>
    <row r="241" spans="1:18" ht="30" x14ac:dyDescent="0.25">
      <c r="A241" s="91"/>
      <c r="B241" s="85" t="s">
        <v>198</v>
      </c>
      <c r="C241" s="86" t="s">
        <v>49</v>
      </c>
      <c r="D241" s="83">
        <v>1</v>
      </c>
      <c r="E241" s="180">
        <v>15495</v>
      </c>
      <c r="F241" s="185">
        <f t="shared" ref="F241" si="20">ROUND(D241*E241,)</f>
        <v>15495</v>
      </c>
      <c r="K241" s="37"/>
      <c r="L241" s="60"/>
      <c r="M241" s="50"/>
      <c r="N241" s="61"/>
      <c r="O241" s="75"/>
      <c r="P241" s="59"/>
      <c r="Q241" s="59"/>
      <c r="R241" s="37"/>
    </row>
    <row r="242" spans="1:18" ht="15.75" thickBot="1" x14ac:dyDescent="0.3">
      <c r="A242" s="30"/>
      <c r="B242" s="24"/>
      <c r="C242" s="25"/>
      <c r="D242" s="102"/>
      <c r="E242" s="181"/>
      <c r="F242" s="186">
        <f t="shared" ref="F242" si="21">ROUND(D242*E242,)</f>
        <v>0</v>
      </c>
      <c r="K242" s="37"/>
      <c r="L242" s="60"/>
      <c r="M242" s="50"/>
      <c r="N242" s="61"/>
      <c r="O242" s="75"/>
      <c r="P242" s="59"/>
      <c r="Q242" s="59"/>
      <c r="R242" s="37"/>
    </row>
    <row r="243" spans="1:18" ht="15.75" thickBot="1" x14ac:dyDescent="0.3">
      <c r="A243" s="6"/>
      <c r="B243" s="36"/>
      <c r="C243" s="37"/>
      <c r="D243" s="38"/>
      <c r="E243" s="39" t="s">
        <v>24</v>
      </c>
      <c r="F243" s="187">
        <f>SUM(F241:F242)</f>
        <v>15495</v>
      </c>
      <c r="K243" s="37"/>
      <c r="L243" s="60"/>
      <c r="M243" s="50"/>
      <c r="N243" s="61"/>
      <c r="O243" s="75"/>
      <c r="P243" s="59"/>
      <c r="Q243" s="59"/>
      <c r="R243" s="37"/>
    </row>
    <row r="244" spans="1:18" ht="15.75" thickBot="1" x14ac:dyDescent="0.3">
      <c r="A244" s="6"/>
      <c r="B244" s="36"/>
      <c r="C244" s="37"/>
      <c r="D244" s="38"/>
      <c r="E244" s="37"/>
      <c r="F244" s="7"/>
      <c r="K244" s="37"/>
      <c r="L244" s="60"/>
      <c r="M244" s="50"/>
      <c r="N244" s="61"/>
      <c r="O244" s="75"/>
      <c r="P244" s="59"/>
      <c r="Q244" s="59"/>
      <c r="R244" s="37"/>
    </row>
    <row r="245" spans="1:18" ht="15.75" thickBot="1" x14ac:dyDescent="0.3">
      <c r="A245" s="69" t="s">
        <v>12</v>
      </c>
      <c r="B245" s="64" t="s">
        <v>25</v>
      </c>
      <c r="C245" s="65"/>
      <c r="D245" s="66"/>
      <c r="E245" s="67"/>
      <c r="F245" s="351">
        <f>+F243+F237+F230</f>
        <v>32126</v>
      </c>
      <c r="H245" s="126"/>
      <c r="K245" s="37"/>
      <c r="L245" s="60"/>
      <c r="M245" s="50"/>
      <c r="N245" s="143"/>
      <c r="O245" s="75"/>
      <c r="P245" s="59"/>
      <c r="Q245" s="59"/>
      <c r="R245" s="37"/>
    </row>
    <row r="246" spans="1:18" ht="15.75" thickBot="1" x14ac:dyDescent="0.3">
      <c r="K246" s="37"/>
      <c r="L246" s="60"/>
      <c r="M246" s="50"/>
      <c r="N246" s="61"/>
      <c r="O246" s="75"/>
      <c r="P246" s="59"/>
      <c r="Q246" s="59"/>
      <c r="R246" s="37"/>
    </row>
    <row r="247" spans="1:18" ht="27" customHeight="1" x14ac:dyDescent="0.25">
      <c r="A247" s="1" t="s">
        <v>47</v>
      </c>
      <c r="B247" s="356" t="s">
        <v>184</v>
      </c>
      <c r="C247" s="356"/>
      <c r="D247" s="356"/>
      <c r="E247" s="3"/>
      <c r="F247" s="146" t="s">
        <v>15</v>
      </c>
      <c r="K247" s="37"/>
      <c r="L247" s="60"/>
      <c r="M247" s="39"/>
      <c r="N247" s="36"/>
      <c r="O247" s="37"/>
      <c r="P247" s="37"/>
      <c r="Q247" s="37"/>
      <c r="R247" s="49"/>
    </row>
    <row r="248" spans="1:18" ht="15.75" thickBot="1" x14ac:dyDescent="0.3">
      <c r="A248" s="70" t="s">
        <v>9</v>
      </c>
      <c r="B248" s="71">
        <v>2.1</v>
      </c>
      <c r="C248" s="10"/>
      <c r="D248" s="11"/>
      <c r="E248" s="10"/>
      <c r="F248" s="145" t="s">
        <v>33</v>
      </c>
      <c r="K248" s="37"/>
      <c r="L248" s="60"/>
      <c r="M248" s="37"/>
      <c r="N248" s="56"/>
      <c r="O248" s="37"/>
      <c r="P248" s="37"/>
      <c r="Q248" s="37"/>
      <c r="R248" s="57"/>
    </row>
    <row r="249" spans="1:18" ht="15.75" thickBot="1" x14ac:dyDescent="0.3">
      <c r="A249" s="8"/>
      <c r="B249" s="9"/>
      <c r="C249" s="10"/>
      <c r="D249" s="11"/>
      <c r="E249" s="10"/>
      <c r="F249" s="12"/>
      <c r="K249" s="37"/>
      <c r="L249" s="60"/>
      <c r="M249" s="37"/>
      <c r="N249" s="36"/>
      <c r="O249" s="37"/>
      <c r="P249" s="37"/>
      <c r="Q249" s="37"/>
      <c r="R249" s="37"/>
    </row>
    <row r="250" spans="1:18" ht="15.75" thickBot="1" x14ac:dyDescent="0.3">
      <c r="A250" s="33" t="s">
        <v>179</v>
      </c>
      <c r="B250" s="40" t="s">
        <v>47</v>
      </c>
      <c r="C250" s="34" t="s">
        <v>15</v>
      </c>
      <c r="D250" s="35" t="s">
        <v>16</v>
      </c>
      <c r="E250" s="34" t="s">
        <v>17</v>
      </c>
      <c r="F250" s="41" t="s">
        <v>18</v>
      </c>
      <c r="K250" s="37"/>
      <c r="L250" s="60"/>
      <c r="M250" s="39"/>
      <c r="N250" s="117"/>
      <c r="O250" s="37"/>
      <c r="P250" s="37"/>
      <c r="Q250" s="37"/>
      <c r="R250" s="37"/>
    </row>
    <row r="251" spans="1:18" ht="15.75" thickBot="1" x14ac:dyDescent="0.3">
      <c r="A251" s="6"/>
      <c r="B251" s="36"/>
      <c r="C251" s="37"/>
      <c r="D251" s="38"/>
      <c r="E251" s="37"/>
      <c r="F251" s="7"/>
      <c r="K251" s="37"/>
      <c r="L251" s="60"/>
      <c r="M251" s="37"/>
      <c r="N251" s="36"/>
      <c r="O251" s="37"/>
      <c r="P251" s="37"/>
      <c r="Q251" s="37"/>
      <c r="R251" s="37"/>
    </row>
    <row r="252" spans="1:18" ht="15.75" thickBot="1" x14ac:dyDescent="0.3">
      <c r="A252" s="1" t="s">
        <v>19</v>
      </c>
      <c r="B252" s="13"/>
      <c r="C252" s="14"/>
      <c r="D252" s="15"/>
      <c r="E252" s="14"/>
      <c r="F252" s="16"/>
      <c r="K252" s="37"/>
      <c r="L252" s="60"/>
      <c r="M252" s="57"/>
      <c r="N252" s="74"/>
      <c r="O252" s="57"/>
      <c r="P252" s="57"/>
      <c r="Q252" s="57"/>
      <c r="R252" s="57"/>
    </row>
    <row r="253" spans="1:18" ht="30" x14ac:dyDescent="0.25">
      <c r="A253" s="241"/>
      <c r="B253" s="96" t="s">
        <v>30</v>
      </c>
      <c r="C253" s="97" t="s">
        <v>29</v>
      </c>
      <c r="D253" s="20">
        <v>0.16</v>
      </c>
      <c r="E253" s="183">
        <v>164667</v>
      </c>
      <c r="F253" s="184">
        <f>ROUND(D253*E253,)</f>
        <v>26347</v>
      </c>
      <c r="K253" s="37"/>
      <c r="L253" s="60"/>
      <c r="M253" s="57"/>
      <c r="N253" s="74"/>
      <c r="O253" s="57"/>
      <c r="P253" s="57"/>
      <c r="Q253" s="57"/>
      <c r="R253" s="57"/>
    </row>
    <row r="254" spans="1:18" ht="15.75" thickBot="1" x14ac:dyDescent="0.3">
      <c r="A254" s="77"/>
      <c r="B254" s="78" t="s">
        <v>98</v>
      </c>
      <c r="C254" s="79" t="s">
        <v>29</v>
      </c>
      <c r="D254" s="80">
        <v>0.11</v>
      </c>
      <c r="E254" s="192">
        <v>133000</v>
      </c>
      <c r="F254" s="189">
        <f>ROUND(D254*E254,)</f>
        <v>14630</v>
      </c>
      <c r="K254" s="37"/>
      <c r="L254" s="60"/>
      <c r="M254" s="37"/>
      <c r="N254" s="36"/>
      <c r="O254" s="37"/>
      <c r="P254" s="37"/>
      <c r="Q254" s="37"/>
      <c r="R254" s="37"/>
    </row>
    <row r="255" spans="1:18" ht="15.75" thickBot="1" x14ac:dyDescent="0.3">
      <c r="A255" s="6"/>
      <c r="B255" s="36"/>
      <c r="C255" s="37"/>
      <c r="D255" s="38"/>
      <c r="E255" s="39" t="s">
        <v>20</v>
      </c>
      <c r="F255" s="29">
        <f>SUM(F253:F254)</f>
        <v>40977</v>
      </c>
      <c r="H255">
        <v>37000</v>
      </c>
      <c r="K255" s="37"/>
      <c r="L255" s="60"/>
      <c r="M255" s="39"/>
      <c r="N255" s="53"/>
      <c r="O255" s="39"/>
      <c r="P255" s="39"/>
      <c r="Q255" s="39"/>
      <c r="R255" s="39"/>
    </row>
    <row r="256" spans="1:18" ht="15.75" thickBot="1" x14ac:dyDescent="0.3">
      <c r="A256" s="6"/>
      <c r="B256" s="36"/>
      <c r="C256" s="37"/>
      <c r="D256" s="38"/>
      <c r="E256" s="37"/>
      <c r="F256" s="7"/>
      <c r="K256" s="37"/>
      <c r="L256" s="60"/>
      <c r="M256" s="55"/>
      <c r="N256" s="56"/>
      <c r="O256" s="57"/>
      <c r="P256" s="75"/>
      <c r="Q256" s="59"/>
      <c r="R256" s="59"/>
    </row>
    <row r="257" spans="1:18" ht="15.75" thickBot="1" x14ac:dyDescent="0.3">
      <c r="A257" s="1" t="s">
        <v>21</v>
      </c>
      <c r="B257" s="13"/>
      <c r="C257" s="14"/>
      <c r="D257" s="15"/>
      <c r="E257" s="14"/>
      <c r="F257" s="16"/>
      <c r="K257" s="37"/>
      <c r="L257" s="60"/>
      <c r="M257" s="60"/>
      <c r="N257" s="50"/>
      <c r="O257" s="61"/>
      <c r="P257" s="75"/>
      <c r="Q257" s="59"/>
      <c r="R257" s="59"/>
    </row>
    <row r="258" spans="1:18" x14ac:dyDescent="0.25">
      <c r="A258" s="103"/>
      <c r="B258" s="109"/>
      <c r="C258" s="110"/>
      <c r="D258" s="112"/>
      <c r="E258" s="183"/>
      <c r="F258" s="22"/>
      <c r="K258" s="37"/>
      <c r="L258" s="60"/>
      <c r="M258" s="37"/>
      <c r="N258" s="36"/>
      <c r="O258" s="37"/>
      <c r="P258" s="37"/>
      <c r="Q258" s="39"/>
      <c r="R258" s="59"/>
    </row>
    <row r="259" spans="1:18" x14ac:dyDescent="0.25">
      <c r="A259" s="108"/>
      <c r="B259" s="111" t="s">
        <v>34</v>
      </c>
      <c r="C259" s="114" t="s">
        <v>35</v>
      </c>
      <c r="D259" s="115">
        <v>0.2</v>
      </c>
      <c r="E259" s="180">
        <v>1700</v>
      </c>
      <c r="F259" s="185">
        <f t="shared" ref="F259" si="22">ROUND(D259*E259,)</f>
        <v>340</v>
      </c>
      <c r="K259" s="37"/>
      <c r="L259" s="60"/>
      <c r="M259" s="39"/>
      <c r="N259" s="53"/>
      <c r="O259" s="39"/>
      <c r="P259" s="39"/>
      <c r="Q259" s="39"/>
      <c r="R259" s="39"/>
    </row>
    <row r="260" spans="1:18" ht="15.75" thickBot="1" x14ac:dyDescent="0.3">
      <c r="A260" s="77"/>
      <c r="B260" s="78"/>
      <c r="C260" s="79"/>
      <c r="D260" s="80"/>
      <c r="E260" s="81"/>
      <c r="F260" s="76">
        <f>ROUND(D260*E260,)</f>
        <v>0</v>
      </c>
      <c r="K260" s="37"/>
      <c r="L260" s="60"/>
      <c r="M260" s="55"/>
      <c r="N260" s="56"/>
      <c r="O260" s="57"/>
      <c r="P260" s="75"/>
      <c r="Q260" s="59"/>
      <c r="R260" s="59"/>
    </row>
    <row r="261" spans="1:18" ht="15.75" thickBot="1" x14ac:dyDescent="0.3">
      <c r="A261" s="6"/>
      <c r="B261" s="36"/>
      <c r="C261" s="37"/>
      <c r="D261" s="38"/>
      <c r="E261" s="39" t="s">
        <v>22</v>
      </c>
      <c r="F261" s="190">
        <f>SUM(F258:F260)</f>
        <v>340</v>
      </c>
      <c r="K261" s="37"/>
      <c r="L261" s="60"/>
      <c r="M261" s="60"/>
      <c r="N261" s="50"/>
      <c r="O261" s="61"/>
      <c r="P261" s="75"/>
      <c r="Q261" s="59"/>
      <c r="R261" s="59"/>
    </row>
    <row r="262" spans="1:18" ht="15.75" thickBot="1" x14ac:dyDescent="0.3">
      <c r="A262" s="6"/>
      <c r="B262" s="36"/>
      <c r="C262" s="37"/>
      <c r="D262" s="38"/>
      <c r="E262" s="37"/>
      <c r="F262" s="7"/>
      <c r="K262" s="37"/>
      <c r="L262" s="60"/>
      <c r="M262" s="37"/>
      <c r="N262" s="36"/>
      <c r="O262" s="37"/>
      <c r="P262" s="37"/>
      <c r="Q262" s="39"/>
      <c r="R262" s="59"/>
    </row>
    <row r="263" spans="1:18" ht="15.75" thickBot="1" x14ac:dyDescent="0.3">
      <c r="A263" s="1" t="s">
        <v>23</v>
      </c>
      <c r="B263" s="13"/>
      <c r="C263" s="14"/>
      <c r="D263" s="15"/>
      <c r="E263" s="14"/>
      <c r="F263" s="16"/>
      <c r="K263" s="37"/>
      <c r="L263" s="60"/>
      <c r="M263" s="37"/>
      <c r="N263" s="36"/>
      <c r="O263" s="37"/>
      <c r="P263" s="37"/>
      <c r="Q263" s="37"/>
      <c r="R263" s="37"/>
    </row>
    <row r="264" spans="1:18" x14ac:dyDescent="0.25">
      <c r="A264" s="17"/>
      <c r="B264" s="96"/>
      <c r="C264" s="97"/>
      <c r="D264" s="101"/>
      <c r="E264" s="21"/>
      <c r="F264" s="22"/>
      <c r="K264" s="37"/>
      <c r="L264" s="60"/>
      <c r="M264" s="39"/>
      <c r="N264" s="53"/>
      <c r="O264" s="39"/>
      <c r="P264" s="39"/>
      <c r="Q264" s="39"/>
      <c r="R264" s="39"/>
    </row>
    <row r="265" spans="1:18" ht="30" x14ac:dyDescent="0.25">
      <c r="A265" s="91"/>
      <c r="B265" s="85" t="s">
        <v>68</v>
      </c>
      <c r="C265" s="86" t="s">
        <v>33</v>
      </c>
      <c r="D265" s="83">
        <v>1</v>
      </c>
      <c r="E265" s="180">
        <v>17487.5</v>
      </c>
      <c r="F265" s="185">
        <f t="shared" ref="F265" si="23">ROUND(D265*E265,)</f>
        <v>17488</v>
      </c>
      <c r="K265" s="37"/>
      <c r="L265" s="60"/>
      <c r="M265" s="55"/>
      <c r="N265" s="56"/>
      <c r="O265" s="57"/>
      <c r="P265" s="75"/>
      <c r="Q265" s="59"/>
      <c r="R265" s="59"/>
    </row>
    <row r="266" spans="1:18" ht="15.75" thickBot="1" x14ac:dyDescent="0.3">
      <c r="A266" s="30"/>
      <c r="B266" s="24"/>
      <c r="C266" s="25"/>
      <c r="D266" s="102"/>
      <c r="E266" s="27"/>
      <c r="F266" s="186"/>
      <c r="J266">
        <f>139900/8</f>
        <v>17487.5</v>
      </c>
      <c r="K266" s="37"/>
      <c r="L266" s="60"/>
      <c r="M266" s="55"/>
      <c r="N266" s="56"/>
      <c r="O266" s="57"/>
      <c r="P266" s="75"/>
      <c r="Q266" s="59"/>
      <c r="R266" s="59"/>
    </row>
    <row r="267" spans="1:18" ht="15.75" thickBot="1" x14ac:dyDescent="0.3">
      <c r="A267" s="6"/>
      <c r="B267" s="36"/>
      <c r="C267" s="37"/>
      <c r="D267" s="38"/>
      <c r="E267" s="39" t="s">
        <v>24</v>
      </c>
      <c r="F267" s="187">
        <f>F265+F266</f>
        <v>17488</v>
      </c>
      <c r="K267" s="37"/>
      <c r="L267" s="60"/>
      <c r="M267" s="37"/>
      <c r="N267" s="143"/>
      <c r="O267" s="37"/>
      <c r="P267" s="37"/>
      <c r="Q267" s="39"/>
      <c r="R267" s="59"/>
    </row>
    <row r="268" spans="1:18" ht="15.75" thickBot="1" x14ac:dyDescent="0.3">
      <c r="A268" s="6"/>
      <c r="B268" s="36"/>
      <c r="C268" s="37"/>
      <c r="D268" s="38"/>
      <c r="E268" s="37"/>
      <c r="F268" s="7"/>
      <c r="K268" s="37"/>
      <c r="L268" s="60"/>
      <c r="M268" s="37"/>
      <c r="N268" s="36"/>
      <c r="O268" s="37"/>
      <c r="P268" s="37"/>
      <c r="Q268" s="37"/>
      <c r="R268" s="37"/>
    </row>
    <row r="269" spans="1:18" ht="15.75" thickBot="1" x14ac:dyDescent="0.3">
      <c r="A269" s="69" t="s">
        <v>12</v>
      </c>
      <c r="B269" s="64" t="s">
        <v>25</v>
      </c>
      <c r="C269" s="65"/>
      <c r="D269" s="66"/>
      <c r="E269" s="67"/>
      <c r="F269" s="351">
        <f>+F267+F261+F255</f>
        <v>58805</v>
      </c>
      <c r="H269" s="126"/>
      <c r="K269" s="37"/>
      <c r="L269" s="60"/>
      <c r="M269" s="39"/>
      <c r="N269" s="53"/>
      <c r="O269" s="39"/>
      <c r="P269" s="39"/>
      <c r="Q269" s="39"/>
      <c r="R269" s="39"/>
    </row>
    <row r="270" spans="1:18" ht="15.75" thickBot="1" x14ac:dyDescent="0.3">
      <c r="K270" s="37"/>
      <c r="L270" s="60"/>
      <c r="M270" s="55"/>
      <c r="N270" s="56"/>
      <c r="O270" s="57"/>
      <c r="P270" s="75"/>
      <c r="Q270" s="59"/>
      <c r="R270" s="59"/>
    </row>
    <row r="271" spans="1:18" ht="29.25" customHeight="1" x14ac:dyDescent="0.25">
      <c r="A271" s="1" t="s">
        <v>47</v>
      </c>
      <c r="B271" s="356" t="s">
        <v>185</v>
      </c>
      <c r="C271" s="356"/>
      <c r="D271" s="356"/>
      <c r="E271" s="3"/>
      <c r="F271" s="146" t="s">
        <v>15</v>
      </c>
      <c r="K271" s="37"/>
      <c r="L271" s="60"/>
      <c r="M271" s="37"/>
      <c r="N271" s="36"/>
      <c r="O271" s="37"/>
      <c r="P271" s="37"/>
      <c r="Q271" s="39"/>
      <c r="R271" s="59"/>
    </row>
    <row r="272" spans="1:18" ht="15.75" thickBot="1" x14ac:dyDescent="0.3">
      <c r="A272" s="70" t="s">
        <v>9</v>
      </c>
      <c r="B272" s="71">
        <v>2.2000000000000002</v>
      </c>
      <c r="C272" s="10"/>
      <c r="D272" s="11"/>
      <c r="E272" s="10"/>
      <c r="F272" s="145" t="s">
        <v>33</v>
      </c>
      <c r="K272" s="37"/>
      <c r="L272" s="60"/>
      <c r="M272" s="37"/>
      <c r="N272" s="36"/>
      <c r="O272" s="37"/>
      <c r="P272" s="37"/>
      <c r="Q272" s="39"/>
      <c r="R272" s="59"/>
    </row>
    <row r="273" spans="1:18" ht="15.75" thickBot="1" x14ac:dyDescent="0.3">
      <c r="A273" s="8"/>
      <c r="B273" s="9"/>
      <c r="C273" s="10"/>
      <c r="D273" s="11"/>
      <c r="E273" s="10"/>
      <c r="F273" s="12"/>
      <c r="K273" s="37"/>
      <c r="L273" s="60"/>
      <c r="M273" s="37"/>
      <c r="N273" s="36"/>
      <c r="O273" s="37"/>
      <c r="P273" s="37"/>
      <c r="Q273" s="39"/>
      <c r="R273" s="59"/>
    </row>
    <row r="274" spans="1:18" ht="15.75" thickBot="1" x14ac:dyDescent="0.3">
      <c r="A274" s="33" t="s">
        <v>179</v>
      </c>
      <c r="B274" s="40" t="s">
        <v>47</v>
      </c>
      <c r="C274" s="34" t="s">
        <v>15</v>
      </c>
      <c r="D274" s="35" t="s">
        <v>16</v>
      </c>
      <c r="E274" s="34" t="s">
        <v>17</v>
      </c>
      <c r="F274" s="41" t="s">
        <v>18</v>
      </c>
      <c r="K274" s="37"/>
      <c r="L274" s="60"/>
      <c r="M274" s="37"/>
      <c r="N274" s="36"/>
      <c r="O274" s="37"/>
      <c r="P274" s="37"/>
      <c r="Q274" s="39"/>
      <c r="R274" s="59"/>
    </row>
    <row r="275" spans="1:18" ht="15.75" thickBot="1" x14ac:dyDescent="0.3">
      <c r="A275" s="6"/>
      <c r="B275" s="36"/>
      <c r="C275" s="37"/>
      <c r="D275" s="38"/>
      <c r="E275" s="37"/>
      <c r="F275" s="7"/>
      <c r="K275" s="37"/>
      <c r="L275" s="60"/>
      <c r="M275" s="37"/>
      <c r="N275" s="36"/>
      <c r="O275" s="37"/>
      <c r="P275" s="37"/>
      <c r="Q275" s="39"/>
      <c r="R275" s="59"/>
    </row>
    <row r="276" spans="1:18" ht="15.75" thickBot="1" x14ac:dyDescent="0.3">
      <c r="A276" s="44" t="s">
        <v>19</v>
      </c>
      <c r="B276" s="45"/>
      <c r="C276" s="46"/>
      <c r="D276" s="47"/>
      <c r="E276" s="46"/>
      <c r="F276" s="48"/>
      <c r="K276" s="37"/>
      <c r="L276" s="60"/>
      <c r="M276" s="37"/>
      <c r="N276" s="36"/>
      <c r="O276" s="37"/>
      <c r="P276" s="37"/>
      <c r="Q276" s="39"/>
      <c r="R276" s="59"/>
    </row>
    <row r="277" spans="1:18" ht="31.5" customHeight="1" thickBot="1" x14ac:dyDescent="0.3">
      <c r="A277" s="77"/>
      <c r="B277" s="78" t="s">
        <v>96</v>
      </c>
      <c r="C277" s="79" t="s">
        <v>29</v>
      </c>
      <c r="D277" s="80">
        <v>0.05</v>
      </c>
      <c r="E277" s="192">
        <v>164667</v>
      </c>
      <c r="F277" s="189">
        <f>ROUND(D277*E277,)</f>
        <v>8233</v>
      </c>
      <c r="K277" s="37"/>
      <c r="L277" s="60"/>
      <c r="M277" s="37"/>
      <c r="N277" s="36"/>
      <c r="O277" s="37"/>
      <c r="P277" s="37"/>
      <c r="Q277" s="39"/>
      <c r="R277" s="59"/>
    </row>
    <row r="278" spans="1:18" ht="15.75" thickBot="1" x14ac:dyDescent="0.3">
      <c r="A278" s="6"/>
      <c r="B278" s="36"/>
      <c r="C278" s="37"/>
      <c r="D278" s="38"/>
      <c r="E278" s="39" t="s">
        <v>20</v>
      </c>
      <c r="F278" s="187">
        <f>+F277</f>
        <v>8233</v>
      </c>
      <c r="K278" s="37"/>
      <c r="L278" s="60"/>
      <c r="M278" s="37"/>
      <c r="N278" s="36"/>
      <c r="O278" s="37"/>
      <c r="P278" s="37"/>
      <c r="Q278" s="39"/>
      <c r="R278" s="59"/>
    </row>
    <row r="279" spans="1:18" ht="15.75" thickBot="1" x14ac:dyDescent="0.3">
      <c r="A279" s="6"/>
      <c r="B279" s="36"/>
      <c r="C279" s="37"/>
      <c r="D279" s="38"/>
      <c r="E279" s="37"/>
      <c r="F279" s="7"/>
      <c r="K279" s="37"/>
      <c r="L279" s="60"/>
      <c r="M279" s="37"/>
      <c r="N279" s="36"/>
      <c r="O279" s="37"/>
      <c r="P279" s="37"/>
      <c r="Q279" s="39"/>
      <c r="R279" s="59"/>
    </row>
    <row r="280" spans="1:18" ht="15.75" thickBot="1" x14ac:dyDescent="0.3">
      <c r="A280" s="1" t="s">
        <v>21</v>
      </c>
      <c r="B280" s="13"/>
      <c r="C280" s="14"/>
      <c r="D280" s="15"/>
      <c r="E280" s="14"/>
      <c r="F280" s="16"/>
      <c r="K280" s="37"/>
      <c r="L280" s="60"/>
      <c r="M280" s="37"/>
      <c r="N280" s="36"/>
      <c r="O280" s="37"/>
      <c r="P280" s="37"/>
      <c r="Q280" s="39"/>
      <c r="R280" s="59"/>
    </row>
    <row r="281" spans="1:18" x14ac:dyDescent="0.25">
      <c r="A281" s="103"/>
      <c r="B281" s="109"/>
      <c r="C281" s="110"/>
      <c r="D281" s="112"/>
      <c r="E281" s="21"/>
      <c r="F281" s="22"/>
      <c r="K281" s="37"/>
      <c r="L281" s="60"/>
      <c r="M281" s="37"/>
      <c r="N281" s="36"/>
      <c r="O281" s="37"/>
      <c r="P281" s="37"/>
      <c r="Q281" s="39"/>
      <c r="R281" s="59"/>
    </row>
    <row r="282" spans="1:18" x14ac:dyDescent="0.25">
      <c r="A282" s="108"/>
      <c r="B282" s="111" t="s">
        <v>34</v>
      </c>
      <c r="C282" s="114" t="s">
        <v>35</v>
      </c>
      <c r="D282" s="115">
        <v>0.2</v>
      </c>
      <c r="E282" s="180">
        <v>1700</v>
      </c>
      <c r="F282" s="185">
        <f t="shared" ref="F282" si="24">ROUND(D282*E282,)</f>
        <v>340</v>
      </c>
      <c r="K282" s="37"/>
      <c r="L282" s="60"/>
      <c r="M282" s="37"/>
      <c r="N282" s="36"/>
      <c r="O282" s="37"/>
      <c r="P282" s="37"/>
      <c r="Q282" s="39"/>
      <c r="R282" s="59"/>
    </row>
    <row r="283" spans="1:18" ht="15.75" thickBot="1" x14ac:dyDescent="0.3">
      <c r="A283" s="77"/>
      <c r="B283" s="78"/>
      <c r="C283" s="79"/>
      <c r="D283" s="80"/>
      <c r="E283" s="81"/>
      <c r="F283" s="189">
        <f>ROUND(D283*E283,)</f>
        <v>0</v>
      </c>
      <c r="K283" s="37"/>
      <c r="L283" s="60"/>
      <c r="M283" s="37"/>
      <c r="N283" s="36"/>
      <c r="O283" s="37"/>
      <c r="P283" s="37"/>
      <c r="Q283" s="39"/>
      <c r="R283" s="59"/>
    </row>
    <row r="284" spans="1:18" ht="15.75" thickBot="1" x14ac:dyDescent="0.3">
      <c r="A284" s="6"/>
      <c r="B284" s="36"/>
      <c r="C284" s="37"/>
      <c r="D284" s="38"/>
      <c r="E284" s="39" t="s">
        <v>22</v>
      </c>
      <c r="F284" s="190">
        <f>SUM(F281:F283)</f>
        <v>340</v>
      </c>
      <c r="K284" s="37"/>
      <c r="L284" s="60"/>
      <c r="M284" s="37"/>
      <c r="N284" s="36"/>
      <c r="O284" s="37"/>
      <c r="P284" s="37"/>
      <c r="Q284" s="39"/>
      <c r="R284" s="59"/>
    </row>
    <row r="285" spans="1:18" ht="15.75" thickBot="1" x14ac:dyDescent="0.3">
      <c r="A285" s="6"/>
      <c r="B285" s="36"/>
      <c r="C285" s="37"/>
      <c r="D285" s="38"/>
      <c r="E285" s="37"/>
      <c r="F285" s="7"/>
      <c r="K285" s="37"/>
      <c r="L285" s="60"/>
      <c r="M285" s="37"/>
      <c r="N285" s="36"/>
      <c r="O285" s="37"/>
      <c r="P285" s="37"/>
      <c r="Q285" s="39"/>
      <c r="R285" s="59"/>
    </row>
    <row r="286" spans="1:18" ht="15.75" thickBot="1" x14ac:dyDescent="0.3">
      <c r="A286" s="1" t="s">
        <v>23</v>
      </c>
      <c r="B286" s="13"/>
      <c r="C286" s="14"/>
      <c r="D286" s="15"/>
      <c r="E286" s="14"/>
      <c r="F286" s="16"/>
      <c r="K286" s="37"/>
      <c r="L286" s="60"/>
      <c r="M286" s="37"/>
      <c r="N286" s="36"/>
      <c r="O286" s="37"/>
      <c r="P286" s="37"/>
      <c r="Q286" s="39"/>
      <c r="R286" s="59"/>
    </row>
    <row r="287" spans="1:18" x14ac:dyDescent="0.25">
      <c r="A287" s="17"/>
      <c r="B287" s="96"/>
      <c r="C287" s="97"/>
      <c r="D287" s="101"/>
      <c r="E287" s="21"/>
      <c r="F287" s="22"/>
      <c r="K287" s="37"/>
      <c r="L287" s="60"/>
      <c r="M287" s="37"/>
      <c r="N287" s="36"/>
      <c r="O287" s="37"/>
      <c r="P287" s="37"/>
      <c r="Q287" s="39"/>
      <c r="R287" s="59"/>
    </row>
    <row r="288" spans="1:18" x14ac:dyDescent="0.25">
      <c r="A288" s="91"/>
      <c r="B288" s="85" t="s">
        <v>178</v>
      </c>
      <c r="C288" s="86" t="s">
        <v>33</v>
      </c>
      <c r="D288" s="83">
        <v>1</v>
      </c>
      <c r="E288" s="180">
        <v>837</v>
      </c>
      <c r="F288" s="185">
        <f t="shared" ref="F288" si="25">ROUND(D288*E288,)</f>
        <v>837</v>
      </c>
      <c r="K288" s="37"/>
      <c r="L288" s="60"/>
      <c r="M288" s="37"/>
      <c r="N288" s="36"/>
      <c r="O288" s="37"/>
      <c r="P288" s="37"/>
      <c r="Q288" s="39"/>
      <c r="R288" s="59"/>
    </row>
    <row r="289" spans="1:18" ht="15.75" thickBot="1" x14ac:dyDescent="0.3">
      <c r="A289" s="30"/>
      <c r="B289" s="24"/>
      <c r="C289" s="25"/>
      <c r="D289" s="102"/>
      <c r="E289" s="27"/>
      <c r="F289" s="186"/>
      <c r="J289">
        <f>292900/350</f>
        <v>836.85714285714289</v>
      </c>
      <c r="K289" s="37"/>
      <c r="L289" s="60"/>
      <c r="M289" s="37"/>
      <c r="N289" s="36"/>
      <c r="O289" s="37"/>
      <c r="P289" s="37"/>
      <c r="Q289" s="39"/>
      <c r="R289" s="59"/>
    </row>
    <row r="290" spans="1:18" ht="15.75" thickBot="1" x14ac:dyDescent="0.3">
      <c r="A290" s="6"/>
      <c r="B290" s="36"/>
      <c r="C290" s="37"/>
      <c r="D290" s="38"/>
      <c r="E290" s="39" t="s">
        <v>24</v>
      </c>
      <c r="F290" s="187">
        <f>F288+F289</f>
        <v>837</v>
      </c>
      <c r="K290" s="37"/>
      <c r="L290" s="60"/>
      <c r="M290" s="37"/>
      <c r="N290" s="143"/>
      <c r="O290" s="37"/>
      <c r="P290" s="37"/>
      <c r="Q290" s="39"/>
      <c r="R290" s="59"/>
    </row>
    <row r="291" spans="1:18" ht="15.75" thickBot="1" x14ac:dyDescent="0.3">
      <c r="A291" s="6"/>
      <c r="B291" s="36"/>
      <c r="C291" s="37"/>
      <c r="D291" s="38"/>
      <c r="E291" s="37"/>
      <c r="F291" s="7"/>
      <c r="K291" s="37"/>
      <c r="L291" s="60"/>
      <c r="M291" s="37"/>
      <c r="N291" s="36"/>
      <c r="O291" s="37"/>
      <c r="P291" s="37"/>
      <c r="Q291" s="39"/>
      <c r="R291" s="59"/>
    </row>
    <row r="292" spans="1:18" ht="15.75" thickBot="1" x14ac:dyDescent="0.3">
      <c r="A292" s="69" t="s">
        <v>12</v>
      </c>
      <c r="B292" s="64" t="s">
        <v>25</v>
      </c>
      <c r="C292" s="65"/>
      <c r="D292" s="66"/>
      <c r="E292" s="67"/>
      <c r="F292" s="351">
        <f>+F290+F284+F278</f>
        <v>9410</v>
      </c>
      <c r="H292" s="126"/>
      <c r="K292" s="37"/>
      <c r="L292" s="60"/>
      <c r="M292" s="37"/>
      <c r="N292" s="36"/>
      <c r="O292" s="37"/>
      <c r="P292" s="37"/>
      <c r="Q292" s="39"/>
      <c r="R292" s="59"/>
    </row>
    <row r="293" spans="1:18" ht="15.75" thickBot="1" x14ac:dyDescent="0.3">
      <c r="K293" s="37"/>
      <c r="L293" s="60"/>
      <c r="M293" s="37"/>
      <c r="N293" s="36"/>
      <c r="O293" s="37"/>
      <c r="P293" s="37"/>
      <c r="Q293" s="39"/>
      <c r="R293" s="59"/>
    </row>
    <row r="294" spans="1:18" ht="28.5" customHeight="1" x14ac:dyDescent="0.25">
      <c r="A294" s="1" t="s">
        <v>47</v>
      </c>
      <c r="B294" s="355" t="s">
        <v>94</v>
      </c>
      <c r="C294" s="355"/>
      <c r="D294" s="355"/>
      <c r="E294" s="3"/>
      <c r="F294" s="5" t="s">
        <v>15</v>
      </c>
      <c r="K294" s="37"/>
      <c r="L294" s="60"/>
      <c r="M294" s="37"/>
      <c r="N294" s="36"/>
      <c r="O294" s="37"/>
      <c r="P294" s="37"/>
      <c r="Q294" s="39"/>
      <c r="R294" s="59"/>
    </row>
    <row r="295" spans="1:18" ht="15.75" thickBot="1" x14ac:dyDescent="0.3">
      <c r="A295" s="70" t="s">
        <v>9</v>
      </c>
      <c r="B295" s="71">
        <v>2.2999999999999998</v>
      </c>
      <c r="C295" s="10"/>
      <c r="D295" s="11"/>
      <c r="E295" s="10"/>
      <c r="F295" s="72" t="s">
        <v>26</v>
      </c>
      <c r="K295" s="37"/>
      <c r="L295" s="60"/>
      <c r="M295" s="37"/>
      <c r="N295" s="36"/>
      <c r="O295" s="37"/>
      <c r="P295" s="37"/>
      <c r="Q295" s="39"/>
      <c r="R295" s="59"/>
    </row>
    <row r="296" spans="1:18" ht="15.75" thickBot="1" x14ac:dyDescent="0.3">
      <c r="A296" s="6"/>
      <c r="B296" s="36"/>
      <c r="C296" s="37"/>
      <c r="D296" s="38"/>
      <c r="E296" s="37"/>
      <c r="F296" s="7"/>
      <c r="K296" s="37"/>
      <c r="L296" s="60"/>
      <c r="M296" s="37"/>
      <c r="N296" s="36"/>
      <c r="O296" s="37"/>
      <c r="P296" s="37"/>
      <c r="Q296" s="39"/>
      <c r="R296" s="59"/>
    </row>
    <row r="297" spans="1:18" ht="15.75" thickBot="1" x14ac:dyDescent="0.3">
      <c r="A297" s="33" t="s">
        <v>179</v>
      </c>
      <c r="B297" s="40" t="s">
        <v>47</v>
      </c>
      <c r="C297" s="34" t="s">
        <v>15</v>
      </c>
      <c r="D297" s="35" t="s">
        <v>16</v>
      </c>
      <c r="E297" s="34" t="s">
        <v>17</v>
      </c>
      <c r="F297" s="41" t="s">
        <v>18</v>
      </c>
      <c r="K297" s="37"/>
      <c r="L297" s="60"/>
      <c r="M297" s="37"/>
      <c r="N297" s="36"/>
      <c r="O297" s="37"/>
      <c r="P297" s="37"/>
      <c r="Q297" s="39"/>
      <c r="R297" s="59"/>
    </row>
    <row r="298" spans="1:18" ht="15.75" thickBot="1" x14ac:dyDescent="0.3">
      <c r="A298" s="6"/>
      <c r="B298" s="36"/>
      <c r="C298" s="37"/>
      <c r="D298" s="38"/>
      <c r="E298" s="37"/>
      <c r="F298" s="7"/>
      <c r="K298" s="37"/>
      <c r="L298" s="60"/>
      <c r="M298" s="37"/>
      <c r="N298" s="36"/>
      <c r="O298" s="37"/>
      <c r="P298" s="37"/>
      <c r="Q298" s="39"/>
      <c r="R298" s="59"/>
    </row>
    <row r="299" spans="1:18" ht="15.75" thickBot="1" x14ac:dyDescent="0.3">
      <c r="A299" s="1" t="s">
        <v>19</v>
      </c>
      <c r="B299" s="13"/>
      <c r="C299" s="14"/>
      <c r="D299" s="15"/>
      <c r="E299" s="14"/>
      <c r="F299" s="16"/>
      <c r="K299" s="37"/>
      <c r="L299" s="60"/>
      <c r="M299" s="37"/>
      <c r="N299" s="36"/>
      <c r="O299" s="37"/>
      <c r="P299" s="37"/>
      <c r="Q299" s="39"/>
      <c r="R299" s="59"/>
    </row>
    <row r="300" spans="1:18" ht="30" x14ac:dyDescent="0.25">
      <c r="A300" s="241"/>
      <c r="B300" s="96" t="s">
        <v>30</v>
      </c>
      <c r="C300" s="97" t="s">
        <v>29</v>
      </c>
      <c r="D300" s="20">
        <v>0.05</v>
      </c>
      <c r="E300" s="183">
        <v>164667</v>
      </c>
      <c r="F300" s="184">
        <f>ROUND(D300*E300,)</f>
        <v>8233</v>
      </c>
      <c r="K300" s="37"/>
      <c r="L300" s="60"/>
      <c r="M300" s="37"/>
      <c r="N300" s="36"/>
      <c r="O300" s="37"/>
      <c r="P300" s="37"/>
      <c r="Q300" s="39"/>
      <c r="R300" s="59"/>
    </row>
    <row r="301" spans="1:18" ht="18.75" customHeight="1" thickBot="1" x14ac:dyDescent="0.3">
      <c r="A301" s="77"/>
      <c r="B301" s="78" t="s">
        <v>98</v>
      </c>
      <c r="C301" s="79" t="s">
        <v>29</v>
      </c>
      <c r="D301" s="80">
        <v>3.5999999999999997E-2</v>
      </c>
      <c r="E301" s="192">
        <v>133000</v>
      </c>
      <c r="F301" s="189">
        <f>ROUND(D301*E301,)</f>
        <v>4788</v>
      </c>
      <c r="K301" s="37"/>
      <c r="L301" s="60"/>
      <c r="M301" s="37"/>
      <c r="N301" s="36"/>
      <c r="O301" s="37"/>
      <c r="P301" s="37"/>
      <c r="Q301" s="39"/>
      <c r="R301" s="59"/>
    </row>
    <row r="302" spans="1:18" ht="15.75" thickBot="1" x14ac:dyDescent="0.3">
      <c r="A302" s="6"/>
      <c r="B302" s="36"/>
      <c r="C302" s="37"/>
      <c r="D302" s="38"/>
      <c r="E302" s="39" t="s">
        <v>20</v>
      </c>
      <c r="F302" s="187">
        <f>+F300+F301</f>
        <v>13021</v>
      </c>
      <c r="K302" s="37"/>
      <c r="L302" s="60"/>
      <c r="M302" s="37"/>
      <c r="N302" s="36"/>
      <c r="O302" s="37"/>
      <c r="P302" s="37"/>
      <c r="Q302" s="39"/>
      <c r="R302" s="59"/>
    </row>
    <row r="303" spans="1:18" ht="15.75" thickBot="1" x14ac:dyDescent="0.3">
      <c r="A303" s="6"/>
      <c r="B303" s="36"/>
      <c r="C303" s="37"/>
      <c r="D303" s="38"/>
      <c r="E303" s="37"/>
      <c r="F303" s="7"/>
      <c r="K303" s="37"/>
      <c r="L303" s="60"/>
      <c r="M303" s="37"/>
      <c r="N303" s="36"/>
      <c r="O303" s="37"/>
      <c r="P303" s="37"/>
      <c r="Q303" s="39"/>
      <c r="R303" s="59"/>
    </row>
    <row r="304" spans="1:18" ht="15.75" thickBot="1" x14ac:dyDescent="0.3">
      <c r="A304" s="44" t="s">
        <v>21</v>
      </c>
      <c r="B304" s="45"/>
      <c r="C304" s="46"/>
      <c r="D304" s="47"/>
      <c r="E304" s="46"/>
      <c r="F304" s="48"/>
      <c r="K304" s="37"/>
      <c r="L304" s="60"/>
      <c r="M304" s="37"/>
      <c r="N304" s="36"/>
      <c r="O304" s="37"/>
      <c r="P304" s="37"/>
      <c r="Q304" s="39"/>
      <c r="R304" s="59"/>
    </row>
    <row r="305" spans="1:18" x14ac:dyDescent="0.25">
      <c r="A305" s="108"/>
      <c r="B305" s="96" t="s">
        <v>34</v>
      </c>
      <c r="C305" s="97" t="s">
        <v>35</v>
      </c>
      <c r="D305" s="20">
        <v>1.5</v>
      </c>
      <c r="E305" s="183">
        <v>1700</v>
      </c>
      <c r="F305" s="184">
        <f t="shared" ref="F305:F308" si="26">ROUND(D305*E305,)</f>
        <v>2550</v>
      </c>
      <c r="K305" s="37"/>
      <c r="L305" s="60"/>
      <c r="M305" s="37"/>
      <c r="N305" s="36"/>
      <c r="O305" s="37"/>
      <c r="P305" s="37"/>
      <c r="Q305" s="39"/>
      <c r="R305" s="59"/>
    </row>
    <row r="306" spans="1:18" ht="30" x14ac:dyDescent="0.25">
      <c r="A306" s="108"/>
      <c r="B306" s="236" t="s">
        <v>209</v>
      </c>
      <c r="C306" s="237" t="s">
        <v>37</v>
      </c>
      <c r="D306" s="123">
        <v>0.8</v>
      </c>
      <c r="E306" s="182">
        <v>1200</v>
      </c>
      <c r="F306" s="185">
        <f t="shared" si="26"/>
        <v>960</v>
      </c>
      <c r="K306" s="37"/>
      <c r="L306" s="60"/>
      <c r="M306" s="37"/>
      <c r="N306" s="36"/>
      <c r="O306" s="37"/>
      <c r="P306" s="37"/>
      <c r="Q306" s="39"/>
      <c r="R306" s="59"/>
    </row>
    <row r="307" spans="1:18" ht="18.75" customHeight="1" x14ac:dyDescent="0.25">
      <c r="A307" s="108"/>
      <c r="B307" s="85" t="s">
        <v>211</v>
      </c>
      <c r="C307" s="86" t="s">
        <v>40</v>
      </c>
      <c r="D307" s="83">
        <v>0.8</v>
      </c>
      <c r="E307" s="180">
        <v>1200</v>
      </c>
      <c r="F307" s="185">
        <f t="shared" si="26"/>
        <v>960</v>
      </c>
      <c r="K307" s="37"/>
      <c r="L307" s="60"/>
      <c r="M307" s="37"/>
      <c r="N307" s="36"/>
      <c r="O307" s="37"/>
      <c r="P307" s="37"/>
      <c r="Q307" s="39"/>
      <c r="R307" s="59"/>
    </row>
    <row r="308" spans="1:18" ht="15.75" thickBot="1" x14ac:dyDescent="0.3">
      <c r="A308" s="23"/>
      <c r="B308" s="24" t="s">
        <v>36</v>
      </c>
      <c r="C308" s="25" t="s">
        <v>37</v>
      </c>
      <c r="D308" s="26">
        <v>0.8</v>
      </c>
      <c r="E308" s="181">
        <v>120</v>
      </c>
      <c r="F308" s="186">
        <f t="shared" si="26"/>
        <v>96</v>
      </c>
      <c r="K308" s="37"/>
      <c r="L308" s="60"/>
      <c r="M308" s="37"/>
      <c r="N308" s="36"/>
      <c r="O308" s="37"/>
      <c r="P308" s="37"/>
      <c r="Q308" s="39"/>
      <c r="R308" s="59"/>
    </row>
    <row r="309" spans="1:18" ht="15.75" thickBot="1" x14ac:dyDescent="0.3">
      <c r="A309" s="6"/>
      <c r="B309" s="36"/>
      <c r="C309" s="37"/>
      <c r="D309" s="38"/>
      <c r="E309" s="39" t="s">
        <v>22</v>
      </c>
      <c r="F309" s="187">
        <f>SUM(F305:F308)</f>
        <v>4566</v>
      </c>
      <c r="K309" s="37"/>
      <c r="L309" s="60"/>
      <c r="M309" s="37"/>
      <c r="N309" s="36"/>
      <c r="O309" s="37"/>
      <c r="P309" s="37"/>
      <c r="Q309" s="39"/>
      <c r="R309" s="59"/>
    </row>
    <row r="310" spans="1:18" ht="15.75" thickBot="1" x14ac:dyDescent="0.3">
      <c r="A310" s="6"/>
      <c r="B310" s="36"/>
      <c r="C310" s="37"/>
      <c r="D310" s="38"/>
      <c r="E310" s="37"/>
      <c r="F310" s="7"/>
      <c r="K310" s="37"/>
      <c r="L310" s="60"/>
      <c r="M310" s="37"/>
      <c r="N310" s="36"/>
      <c r="O310" s="37"/>
      <c r="P310" s="37"/>
      <c r="Q310" s="39"/>
      <c r="R310" s="59"/>
    </row>
    <row r="311" spans="1:18" ht="15.75" thickBot="1" x14ac:dyDescent="0.3">
      <c r="A311" s="1" t="s">
        <v>23</v>
      </c>
      <c r="B311" s="13"/>
      <c r="C311" s="14"/>
      <c r="D311" s="15"/>
      <c r="E311" s="14"/>
      <c r="F311" s="16"/>
      <c r="K311" s="37"/>
      <c r="L311" s="60"/>
      <c r="M311" s="37"/>
      <c r="N311" s="36"/>
      <c r="O311" s="37"/>
      <c r="P311" s="37"/>
      <c r="Q311" s="39"/>
      <c r="R311" s="59"/>
    </row>
    <row r="312" spans="1:18" ht="49.5" customHeight="1" x14ac:dyDescent="0.25">
      <c r="A312" s="17"/>
      <c r="B312" s="18" t="s">
        <v>186</v>
      </c>
      <c r="C312" s="19" t="s">
        <v>42</v>
      </c>
      <c r="D312" s="20">
        <v>0.08</v>
      </c>
      <c r="E312" s="183">
        <v>77980</v>
      </c>
      <c r="F312" s="184">
        <f>ROUND(D312*E312,)</f>
        <v>6238</v>
      </c>
      <c r="K312" s="37"/>
      <c r="L312" s="60"/>
      <c r="M312" s="37"/>
      <c r="N312" s="143"/>
      <c r="O312" s="37"/>
      <c r="P312" s="37"/>
      <c r="Q312" s="39"/>
      <c r="R312" s="59"/>
    </row>
    <row r="313" spans="1:18" x14ac:dyDescent="0.25">
      <c r="A313" s="92"/>
      <c r="B313" s="87" t="s">
        <v>46</v>
      </c>
      <c r="C313" s="88" t="s">
        <v>40</v>
      </c>
      <c r="D313" s="89">
        <v>0.02</v>
      </c>
      <c r="E313" s="182">
        <v>1900</v>
      </c>
      <c r="F313" s="188">
        <f>ROUND(D313*E313,)</f>
        <v>38</v>
      </c>
      <c r="K313" s="37"/>
      <c r="L313" s="60"/>
      <c r="M313" s="37"/>
      <c r="N313" s="36"/>
      <c r="O313" s="37"/>
      <c r="P313" s="37"/>
      <c r="Q313" s="39"/>
      <c r="R313" s="59"/>
    </row>
    <row r="314" spans="1:18" x14ac:dyDescent="0.25">
      <c r="A314" s="91"/>
      <c r="B314" s="43" t="s">
        <v>54</v>
      </c>
      <c r="C314" s="82" t="s">
        <v>42</v>
      </c>
      <c r="D314" s="83">
        <v>1.2E-2</v>
      </c>
      <c r="E314" s="180">
        <v>119900</v>
      </c>
      <c r="F314" s="185">
        <f t="shared" ref="F314" si="27">ROUND(D314*E314,)</f>
        <v>1439</v>
      </c>
      <c r="K314" s="37"/>
      <c r="L314" s="60"/>
      <c r="M314" s="37"/>
      <c r="N314" s="36"/>
      <c r="O314" s="37"/>
      <c r="P314" s="37"/>
      <c r="Q314" s="39"/>
      <c r="R314" s="59"/>
    </row>
    <row r="315" spans="1:18" x14ac:dyDescent="0.25">
      <c r="A315" s="91"/>
      <c r="B315" s="43" t="s">
        <v>221</v>
      </c>
      <c r="C315" s="82" t="s">
        <v>42</v>
      </c>
      <c r="D315" s="83">
        <v>0.18</v>
      </c>
      <c r="E315" s="180">
        <v>23980</v>
      </c>
      <c r="F315" s="185">
        <f t="shared" ref="F315:F318" si="28">ROUND(D315*E315,)</f>
        <v>4316</v>
      </c>
      <c r="K315" s="37"/>
      <c r="L315" s="60"/>
      <c r="M315" s="37"/>
      <c r="N315" s="36"/>
      <c r="O315" s="37"/>
      <c r="P315" s="37"/>
      <c r="Q315" s="39"/>
      <c r="R315" s="59"/>
    </row>
    <row r="316" spans="1:18" x14ac:dyDescent="0.25">
      <c r="A316" s="91"/>
      <c r="B316" s="87" t="s">
        <v>51</v>
      </c>
      <c r="C316" s="88" t="s">
        <v>0</v>
      </c>
      <c r="D316" s="123">
        <v>0.03</v>
      </c>
      <c r="E316" s="182">
        <v>13900</v>
      </c>
      <c r="F316" s="210">
        <f t="shared" si="28"/>
        <v>417</v>
      </c>
      <c r="K316" s="37"/>
      <c r="L316" s="60"/>
      <c r="M316" s="37"/>
      <c r="N316" s="36"/>
      <c r="O316" s="37"/>
      <c r="P316" s="37"/>
      <c r="Q316" s="39"/>
      <c r="R316" s="59"/>
    </row>
    <row r="317" spans="1:18" ht="30" x14ac:dyDescent="0.25">
      <c r="A317" s="91"/>
      <c r="B317" s="87" t="s">
        <v>106</v>
      </c>
      <c r="C317" s="88" t="s">
        <v>0</v>
      </c>
      <c r="D317" s="115">
        <v>0.01</v>
      </c>
      <c r="E317" s="180">
        <v>9500</v>
      </c>
      <c r="F317" s="196">
        <f t="shared" si="28"/>
        <v>95</v>
      </c>
      <c r="K317" s="37"/>
      <c r="L317" s="60"/>
      <c r="M317" s="37"/>
      <c r="N317" s="36"/>
      <c r="O317" s="37"/>
      <c r="P317" s="37"/>
      <c r="Q317" s="39"/>
      <c r="R317" s="59"/>
    </row>
    <row r="318" spans="1:18" ht="15.75" thickBot="1" x14ac:dyDescent="0.3">
      <c r="A318" s="30"/>
      <c r="B318" s="31" t="s">
        <v>53</v>
      </c>
      <c r="C318" s="32" t="s">
        <v>0</v>
      </c>
      <c r="D318" s="140">
        <v>0.01</v>
      </c>
      <c r="E318" s="181">
        <v>12900</v>
      </c>
      <c r="F318" s="246">
        <f t="shared" si="28"/>
        <v>129</v>
      </c>
      <c r="K318" s="37"/>
      <c r="L318" s="60"/>
      <c r="M318" s="37"/>
      <c r="N318" s="36"/>
      <c r="O318" s="37"/>
      <c r="P318" s="37"/>
      <c r="Q318" s="39"/>
      <c r="R318" s="59"/>
    </row>
    <row r="319" spans="1:18" ht="15.75" thickBot="1" x14ac:dyDescent="0.3">
      <c r="A319" s="6"/>
      <c r="B319" s="36"/>
      <c r="C319" s="37"/>
      <c r="D319" s="38"/>
      <c r="E319" s="39" t="s">
        <v>24</v>
      </c>
      <c r="F319" s="187">
        <f>SUM(F312:F318)</f>
        <v>12672</v>
      </c>
      <c r="K319" s="37"/>
      <c r="L319" s="60"/>
      <c r="M319" s="37"/>
      <c r="N319" s="36"/>
      <c r="O319" s="37"/>
      <c r="P319" s="37"/>
      <c r="Q319" s="39"/>
      <c r="R319" s="59"/>
    </row>
    <row r="320" spans="1:18" ht="15.75" thickBot="1" x14ac:dyDescent="0.3">
      <c r="A320" s="6"/>
      <c r="B320" s="36"/>
      <c r="C320" s="37"/>
      <c r="D320" s="38"/>
      <c r="E320" s="39"/>
      <c r="F320" s="144"/>
      <c r="K320" s="37"/>
      <c r="L320" s="60"/>
      <c r="M320" s="37"/>
      <c r="N320" s="36"/>
      <c r="O320" s="37"/>
      <c r="P320" s="37"/>
      <c r="Q320" s="39"/>
      <c r="R320" s="59"/>
    </row>
    <row r="321" spans="1:19" ht="15.75" thickBot="1" x14ac:dyDescent="0.3">
      <c r="A321" s="69" t="s">
        <v>12</v>
      </c>
      <c r="B321" s="64" t="s">
        <v>25</v>
      </c>
      <c r="C321" s="65"/>
      <c r="D321" s="66"/>
      <c r="E321" s="67"/>
      <c r="F321" s="351">
        <f>+F319+F309+F302</f>
        <v>30259</v>
      </c>
      <c r="H321" s="126"/>
      <c r="K321" s="37"/>
      <c r="L321" s="60"/>
      <c r="M321" s="37"/>
      <c r="N321" s="36"/>
      <c r="O321" s="37"/>
      <c r="P321" s="37"/>
      <c r="Q321" s="39"/>
      <c r="R321" s="59"/>
    </row>
    <row r="322" spans="1:19" ht="15.75" thickBot="1" x14ac:dyDescent="0.3">
      <c r="K322" s="37"/>
      <c r="L322" s="60"/>
      <c r="M322" s="37"/>
      <c r="N322" s="36"/>
      <c r="O322" s="37"/>
      <c r="P322" s="37"/>
      <c r="Q322" s="39"/>
      <c r="R322" s="59"/>
    </row>
    <row r="323" spans="1:19" ht="31.5" customHeight="1" x14ac:dyDescent="0.25">
      <c r="A323" s="1" t="s">
        <v>47</v>
      </c>
      <c r="B323" s="355" t="s">
        <v>69</v>
      </c>
      <c r="C323" s="355"/>
      <c r="D323" s="355"/>
      <c r="E323" s="3"/>
      <c r="F323" s="5" t="s">
        <v>15</v>
      </c>
      <c r="K323" s="37"/>
      <c r="L323" s="60"/>
      <c r="M323" s="39"/>
      <c r="N323" s="50"/>
      <c r="O323" s="61"/>
      <c r="P323" s="75"/>
      <c r="Q323" s="59"/>
      <c r="R323" s="59"/>
      <c r="S323" s="37"/>
    </row>
    <row r="324" spans="1:19" ht="18.75" customHeight="1" thickBot="1" x14ac:dyDescent="0.3">
      <c r="A324" s="70" t="s">
        <v>9</v>
      </c>
      <c r="B324" s="71">
        <v>2.4</v>
      </c>
      <c r="C324" s="10"/>
      <c r="D324" s="11"/>
      <c r="E324" s="10"/>
      <c r="F324" s="72" t="s">
        <v>26</v>
      </c>
      <c r="K324" s="37"/>
      <c r="L324" s="60"/>
      <c r="M324" s="37"/>
      <c r="N324" s="50"/>
      <c r="O324" s="61"/>
      <c r="P324" s="75"/>
      <c r="Q324" s="59"/>
      <c r="R324" s="59"/>
      <c r="S324" s="37"/>
    </row>
    <row r="325" spans="1:19" ht="15.75" thickBot="1" x14ac:dyDescent="0.3">
      <c r="A325" s="6"/>
      <c r="B325" s="36"/>
      <c r="C325" s="37"/>
      <c r="D325" s="38"/>
      <c r="E325" s="37"/>
      <c r="F325" s="7"/>
      <c r="K325" s="37"/>
      <c r="L325" s="60"/>
      <c r="M325" s="37"/>
      <c r="N325" s="36"/>
      <c r="O325" s="37"/>
      <c r="P325" s="37"/>
      <c r="Q325" s="39"/>
      <c r="R325" s="59"/>
      <c r="S325" s="37"/>
    </row>
    <row r="326" spans="1:19" ht="15.75" thickBot="1" x14ac:dyDescent="0.3">
      <c r="A326" s="33" t="s">
        <v>179</v>
      </c>
      <c r="B326" s="40" t="s">
        <v>47</v>
      </c>
      <c r="C326" s="34" t="s">
        <v>15</v>
      </c>
      <c r="D326" s="35" t="s">
        <v>16</v>
      </c>
      <c r="E326" s="34" t="s">
        <v>17</v>
      </c>
      <c r="F326" s="41" t="s">
        <v>18</v>
      </c>
      <c r="K326" s="37"/>
      <c r="L326" s="60"/>
      <c r="M326" s="39"/>
      <c r="N326" s="36"/>
      <c r="O326" s="37"/>
      <c r="P326" s="37"/>
      <c r="Q326" s="37"/>
      <c r="R326" s="37"/>
      <c r="S326" s="37"/>
    </row>
    <row r="327" spans="1:19" ht="15.75" thickBot="1" x14ac:dyDescent="0.3">
      <c r="A327" s="6"/>
      <c r="B327" s="36"/>
      <c r="C327" s="37"/>
      <c r="D327" s="38"/>
      <c r="E327" s="37"/>
      <c r="F327" s="7"/>
      <c r="K327" s="37"/>
      <c r="L327" s="60"/>
      <c r="M327" s="37"/>
      <c r="N327" s="53"/>
      <c r="O327" s="39"/>
      <c r="P327" s="39"/>
      <c r="Q327" s="39"/>
      <c r="R327" s="39"/>
      <c r="S327" s="37"/>
    </row>
    <row r="328" spans="1:19" ht="15.75" thickBot="1" x14ac:dyDescent="0.3">
      <c r="A328" s="1" t="s">
        <v>19</v>
      </c>
      <c r="B328" s="13"/>
      <c r="C328" s="14"/>
      <c r="D328" s="15"/>
      <c r="E328" s="14"/>
      <c r="F328" s="16"/>
      <c r="K328" s="37"/>
      <c r="L328" s="60"/>
      <c r="M328" s="57"/>
      <c r="N328" s="53"/>
      <c r="O328" s="125"/>
      <c r="P328" s="125"/>
      <c r="Q328" s="125"/>
      <c r="R328" s="59"/>
      <c r="S328" s="37"/>
    </row>
    <row r="329" spans="1:19" ht="30" x14ac:dyDescent="0.25">
      <c r="A329" s="241"/>
      <c r="B329" s="96" t="s">
        <v>30</v>
      </c>
      <c r="C329" s="97" t="s">
        <v>29</v>
      </c>
      <c r="D329" s="20">
        <v>7.0000000000000007E-2</v>
      </c>
      <c r="E329" s="183">
        <v>164667</v>
      </c>
      <c r="F329" s="184">
        <f>ROUND(D329*E329,)</f>
        <v>11527</v>
      </c>
      <c r="K329" s="37"/>
      <c r="L329" s="60"/>
      <c r="M329" s="39"/>
      <c r="N329" s="56"/>
      <c r="O329" s="125"/>
      <c r="P329" s="125"/>
      <c r="Q329" s="125"/>
      <c r="R329" s="59"/>
      <c r="S329" s="37"/>
    </row>
    <row r="330" spans="1:19" ht="20.25" customHeight="1" thickBot="1" x14ac:dyDescent="0.3">
      <c r="A330" s="77"/>
      <c r="B330" s="78" t="s">
        <v>98</v>
      </c>
      <c r="C330" s="79" t="s">
        <v>29</v>
      </c>
      <c r="D330" s="80">
        <v>3.5999999999999997E-2</v>
      </c>
      <c r="E330" s="192">
        <v>133000</v>
      </c>
      <c r="F330" s="189">
        <f>ROUND(D330*E330,)</f>
        <v>4788</v>
      </c>
      <c r="K330" s="37"/>
      <c r="L330" s="60"/>
      <c r="M330" s="55"/>
      <c r="N330" s="56"/>
      <c r="O330" s="125"/>
      <c r="P330" s="125"/>
      <c r="Q330" s="125"/>
      <c r="R330" s="59"/>
      <c r="S330" s="37"/>
    </row>
    <row r="331" spans="1:19" ht="15.75" thickBot="1" x14ac:dyDescent="0.3">
      <c r="A331" s="6"/>
      <c r="B331" s="36"/>
      <c r="C331" s="37"/>
      <c r="D331" s="38"/>
      <c r="E331" s="39" t="s">
        <v>20</v>
      </c>
      <c r="F331" s="187">
        <f>+F329+F330</f>
        <v>16315</v>
      </c>
      <c r="K331" s="37"/>
      <c r="L331" s="60"/>
      <c r="M331" s="60"/>
      <c r="N331" s="56"/>
      <c r="O331" s="125"/>
      <c r="P331" s="125"/>
      <c r="Q331" s="125"/>
      <c r="R331" s="59"/>
      <c r="S331" s="37"/>
    </row>
    <row r="332" spans="1:19" ht="15.75" thickBot="1" x14ac:dyDescent="0.3">
      <c r="A332" s="6"/>
      <c r="B332" s="36"/>
      <c r="C332" s="37"/>
      <c r="D332" s="38"/>
      <c r="E332" s="37"/>
      <c r="F332" s="7"/>
      <c r="K332" s="37"/>
      <c r="L332" s="60"/>
      <c r="M332" s="60"/>
      <c r="N332" s="56"/>
      <c r="O332" s="57"/>
      <c r="P332" s="75"/>
      <c r="Q332" s="59"/>
      <c r="R332" s="59"/>
      <c r="S332" s="37"/>
    </row>
    <row r="333" spans="1:19" ht="15.75" thickBot="1" x14ac:dyDescent="0.3">
      <c r="A333" s="44" t="s">
        <v>21</v>
      </c>
      <c r="B333" s="45"/>
      <c r="C333" s="46"/>
      <c r="D333" s="47"/>
      <c r="E333" s="46"/>
      <c r="F333" s="48"/>
      <c r="K333" s="37"/>
      <c r="L333" s="60"/>
      <c r="M333" s="37"/>
      <c r="N333" s="36"/>
      <c r="O333" s="37"/>
      <c r="P333" s="37"/>
      <c r="Q333" s="39"/>
      <c r="R333" s="59"/>
      <c r="S333" s="37"/>
    </row>
    <row r="334" spans="1:19" x14ac:dyDescent="0.25">
      <c r="A334" s="108"/>
      <c r="B334" s="96" t="s">
        <v>34</v>
      </c>
      <c r="C334" s="97" t="s">
        <v>35</v>
      </c>
      <c r="D334" s="20">
        <v>1.5</v>
      </c>
      <c r="E334" s="183">
        <v>1700</v>
      </c>
      <c r="F334" s="184">
        <f t="shared" ref="F334:F337" si="29">ROUND(D334*E334,)</f>
        <v>2550</v>
      </c>
      <c r="K334" s="37"/>
      <c r="L334" s="60"/>
      <c r="M334" s="39"/>
      <c r="N334" s="53"/>
      <c r="O334" s="39"/>
      <c r="P334" s="39"/>
      <c r="Q334" s="39"/>
      <c r="R334" s="39"/>
      <c r="S334" s="37"/>
    </row>
    <row r="335" spans="1:19" ht="30" x14ac:dyDescent="0.25">
      <c r="A335" s="108"/>
      <c r="B335" s="236" t="s">
        <v>209</v>
      </c>
      <c r="C335" s="237" t="s">
        <v>37</v>
      </c>
      <c r="D335" s="123">
        <v>0.8</v>
      </c>
      <c r="E335" s="182">
        <v>1200</v>
      </c>
      <c r="F335" s="185">
        <f t="shared" si="29"/>
        <v>960</v>
      </c>
      <c r="K335" s="37"/>
      <c r="L335" s="60"/>
      <c r="M335" s="39"/>
      <c r="N335" s="56"/>
      <c r="O335" s="57"/>
      <c r="P335" s="75"/>
      <c r="Q335" s="59"/>
      <c r="R335" s="59"/>
      <c r="S335" s="37"/>
    </row>
    <row r="336" spans="1:19" ht="16.5" customHeight="1" x14ac:dyDescent="0.25">
      <c r="A336" s="108"/>
      <c r="B336" s="85" t="s">
        <v>211</v>
      </c>
      <c r="C336" s="86" t="s">
        <v>40</v>
      </c>
      <c r="D336" s="83">
        <v>0.8</v>
      </c>
      <c r="E336" s="180">
        <v>1200</v>
      </c>
      <c r="F336" s="185">
        <f t="shared" si="29"/>
        <v>960</v>
      </c>
      <c r="K336" s="37"/>
      <c r="L336" s="60"/>
      <c r="M336" s="39"/>
      <c r="N336" s="50"/>
      <c r="O336" s="61"/>
      <c r="P336" s="75"/>
      <c r="Q336" s="59"/>
      <c r="R336" s="59"/>
      <c r="S336" s="37"/>
    </row>
    <row r="337" spans="1:19" ht="15.75" thickBot="1" x14ac:dyDescent="0.3">
      <c r="A337" s="23"/>
      <c r="B337" s="24" t="s">
        <v>36</v>
      </c>
      <c r="C337" s="25" t="s">
        <v>37</v>
      </c>
      <c r="D337" s="26">
        <v>0.8</v>
      </c>
      <c r="E337" s="181">
        <v>120</v>
      </c>
      <c r="F337" s="186">
        <f t="shared" si="29"/>
        <v>96</v>
      </c>
      <c r="K337" s="37"/>
      <c r="L337" s="60"/>
      <c r="M337" s="39"/>
      <c r="N337" s="50"/>
      <c r="O337" s="61"/>
      <c r="P337" s="75"/>
      <c r="Q337" s="59"/>
      <c r="R337" s="59"/>
      <c r="S337" s="37"/>
    </row>
    <row r="338" spans="1:19" ht="15.75" thickBot="1" x14ac:dyDescent="0.3">
      <c r="A338" s="6"/>
      <c r="B338" s="36"/>
      <c r="C338" s="37"/>
      <c r="D338" s="38"/>
      <c r="E338" s="39" t="s">
        <v>22</v>
      </c>
      <c r="F338" s="187">
        <f>SUM(F334:F337)</f>
        <v>4566</v>
      </c>
      <c r="K338" s="37"/>
      <c r="L338" s="60"/>
      <c r="M338" s="39"/>
      <c r="N338" s="50"/>
      <c r="O338" s="61"/>
      <c r="P338" s="37"/>
      <c r="Q338" s="75"/>
      <c r="R338" s="59"/>
      <c r="S338" s="37"/>
    </row>
    <row r="339" spans="1:19" ht="15.75" thickBot="1" x14ac:dyDescent="0.3">
      <c r="A339" s="6"/>
      <c r="B339" s="36"/>
      <c r="C339" s="37"/>
      <c r="D339" s="38"/>
      <c r="E339" s="37"/>
      <c r="F339" s="7"/>
      <c r="K339" s="37"/>
      <c r="L339" s="60"/>
      <c r="M339" s="55"/>
      <c r="N339" s="50"/>
      <c r="O339" s="61"/>
      <c r="P339" s="75"/>
      <c r="Q339" s="75"/>
      <c r="R339" s="59"/>
      <c r="S339" s="37"/>
    </row>
    <row r="340" spans="1:19" ht="15.75" thickBot="1" x14ac:dyDescent="0.3">
      <c r="A340" s="1" t="s">
        <v>23</v>
      </c>
      <c r="B340" s="13"/>
      <c r="C340" s="14"/>
      <c r="D340" s="15"/>
      <c r="E340" s="14"/>
      <c r="F340" s="16"/>
      <c r="K340" s="37"/>
      <c r="L340" s="60"/>
      <c r="M340" s="37"/>
      <c r="N340" s="36"/>
      <c r="O340" s="37"/>
      <c r="P340" s="37"/>
      <c r="Q340" s="39"/>
      <c r="R340" s="59"/>
      <c r="S340" s="37"/>
    </row>
    <row r="341" spans="1:19" ht="27.75" customHeight="1" x14ac:dyDescent="0.25">
      <c r="A341" s="17"/>
      <c r="B341" s="18" t="s">
        <v>70</v>
      </c>
      <c r="C341" s="19" t="s">
        <v>42</v>
      </c>
      <c r="D341" s="20">
        <v>0.08</v>
      </c>
      <c r="E341" s="197">
        <v>92500</v>
      </c>
      <c r="F341" s="184">
        <f>ROUND(D341*E341,)</f>
        <v>7400</v>
      </c>
      <c r="K341" s="37"/>
      <c r="L341" s="60"/>
      <c r="M341" s="37"/>
      <c r="N341" s="36"/>
      <c r="O341" s="37"/>
      <c r="P341" s="37"/>
      <c r="Q341" s="37"/>
      <c r="R341" s="37"/>
      <c r="S341" s="37"/>
    </row>
    <row r="342" spans="1:19" x14ac:dyDescent="0.25">
      <c r="A342" s="92"/>
      <c r="B342" s="87" t="s">
        <v>46</v>
      </c>
      <c r="C342" s="88" t="s">
        <v>40</v>
      </c>
      <c r="D342" s="89">
        <v>0.02</v>
      </c>
      <c r="E342" s="182">
        <v>1900</v>
      </c>
      <c r="F342" s="188">
        <f>ROUND(D342*E342,)</f>
        <v>38</v>
      </c>
      <c r="K342" s="37"/>
      <c r="L342" s="60"/>
      <c r="M342" s="39"/>
      <c r="N342" s="53"/>
      <c r="O342" s="39"/>
      <c r="P342" s="39"/>
      <c r="Q342" s="39"/>
      <c r="R342" s="39"/>
      <c r="S342" s="37"/>
    </row>
    <row r="343" spans="1:19" x14ac:dyDescent="0.25">
      <c r="A343" s="91"/>
      <c r="B343" s="43" t="s">
        <v>54</v>
      </c>
      <c r="C343" s="82" t="s">
        <v>42</v>
      </c>
      <c r="D343" s="83">
        <v>1.2E-2</v>
      </c>
      <c r="E343" s="180">
        <v>119900</v>
      </c>
      <c r="F343" s="185">
        <f t="shared" ref="F343" si="30">ROUND(D343*E343,)</f>
        <v>1439</v>
      </c>
      <c r="K343" s="37"/>
      <c r="L343" s="60"/>
      <c r="M343" s="55"/>
      <c r="N343" s="56"/>
      <c r="O343" s="57"/>
      <c r="P343" s="75"/>
      <c r="Q343" s="59"/>
      <c r="R343" s="59"/>
      <c r="S343" s="37"/>
    </row>
    <row r="344" spans="1:19" x14ac:dyDescent="0.25">
      <c r="A344" s="91"/>
      <c r="B344" s="43" t="s">
        <v>221</v>
      </c>
      <c r="C344" s="82" t="s">
        <v>42</v>
      </c>
      <c r="D344" s="83">
        <v>0.18</v>
      </c>
      <c r="E344" s="180">
        <v>23980</v>
      </c>
      <c r="F344" s="185">
        <f t="shared" ref="F344:F347" si="31">ROUND(D344*E344,)</f>
        <v>4316</v>
      </c>
      <c r="K344" s="37"/>
      <c r="L344" s="60"/>
      <c r="M344" s="55"/>
      <c r="N344" s="56"/>
      <c r="O344" s="57"/>
      <c r="P344" s="75"/>
      <c r="Q344" s="59"/>
      <c r="R344" s="59"/>
      <c r="S344" s="37"/>
    </row>
    <row r="345" spans="1:19" x14ac:dyDescent="0.25">
      <c r="A345" s="91"/>
      <c r="B345" s="87" t="s">
        <v>51</v>
      </c>
      <c r="C345" s="88" t="s">
        <v>0</v>
      </c>
      <c r="D345" s="123">
        <v>0.03</v>
      </c>
      <c r="E345" s="182">
        <v>13900</v>
      </c>
      <c r="F345" s="210">
        <f t="shared" si="31"/>
        <v>417</v>
      </c>
      <c r="K345" s="37"/>
      <c r="L345" s="60"/>
      <c r="M345" s="55"/>
      <c r="N345" s="56"/>
      <c r="O345" s="57"/>
      <c r="P345" s="75"/>
      <c r="Q345" s="59"/>
      <c r="R345" s="59"/>
      <c r="S345" s="37"/>
    </row>
    <row r="346" spans="1:19" ht="30" x14ac:dyDescent="0.25">
      <c r="A346" s="91"/>
      <c r="B346" s="87" t="s">
        <v>106</v>
      </c>
      <c r="C346" s="88" t="s">
        <v>52</v>
      </c>
      <c r="D346" s="115">
        <v>0.01</v>
      </c>
      <c r="E346" s="180">
        <v>9500</v>
      </c>
      <c r="F346" s="196">
        <f t="shared" si="31"/>
        <v>95</v>
      </c>
      <c r="K346" s="37"/>
      <c r="L346" s="60"/>
      <c r="M346" s="60"/>
      <c r="N346" s="50"/>
      <c r="O346" s="61"/>
      <c r="P346" s="75"/>
      <c r="Q346" s="59"/>
      <c r="R346" s="59"/>
      <c r="S346" s="37"/>
    </row>
    <row r="347" spans="1:19" ht="15.75" thickBot="1" x14ac:dyDescent="0.3">
      <c r="A347" s="30"/>
      <c r="B347" s="31" t="s">
        <v>53</v>
      </c>
      <c r="C347" s="32" t="s">
        <v>0</v>
      </c>
      <c r="D347" s="140">
        <v>0.01</v>
      </c>
      <c r="E347" s="181">
        <v>12900</v>
      </c>
      <c r="F347" s="246">
        <f t="shared" si="31"/>
        <v>129</v>
      </c>
      <c r="K347" s="37"/>
      <c r="L347" s="60"/>
      <c r="M347" s="60"/>
      <c r="N347" s="50"/>
      <c r="O347" s="61"/>
      <c r="P347" s="75"/>
      <c r="Q347" s="59"/>
      <c r="R347" s="59"/>
      <c r="S347" s="37"/>
    </row>
    <row r="348" spans="1:19" ht="15.75" thickBot="1" x14ac:dyDescent="0.3">
      <c r="A348" s="6"/>
      <c r="B348" s="36"/>
      <c r="C348" s="37"/>
      <c r="D348" s="38"/>
      <c r="E348" s="39" t="s">
        <v>24</v>
      </c>
      <c r="F348" s="187">
        <f>SUM(F341:F347)</f>
        <v>13834</v>
      </c>
      <c r="J348">
        <f>462500/5</f>
        <v>92500</v>
      </c>
      <c r="K348" s="37"/>
      <c r="L348" s="60"/>
      <c r="M348" s="136"/>
      <c r="N348" s="147"/>
      <c r="O348" s="137"/>
      <c r="P348" s="127"/>
      <c r="Q348" s="134"/>
      <c r="R348" s="135"/>
      <c r="S348" s="37"/>
    </row>
    <row r="349" spans="1:19" ht="15.75" thickBot="1" x14ac:dyDescent="0.3">
      <c r="A349" s="6"/>
      <c r="B349" s="36"/>
      <c r="C349" s="37"/>
      <c r="D349" s="38"/>
      <c r="E349" s="39"/>
      <c r="F349" s="144"/>
      <c r="K349" s="37"/>
      <c r="L349" s="60"/>
      <c r="M349" s="136"/>
      <c r="N349" s="147"/>
      <c r="O349" s="137"/>
      <c r="P349" s="127"/>
      <c r="Q349" s="134"/>
      <c r="R349" s="135"/>
      <c r="S349" s="37"/>
    </row>
    <row r="350" spans="1:19" ht="15.75" thickBot="1" x14ac:dyDescent="0.3">
      <c r="A350" s="69" t="s">
        <v>12</v>
      </c>
      <c r="B350" s="64" t="s">
        <v>25</v>
      </c>
      <c r="C350" s="65"/>
      <c r="D350" s="66"/>
      <c r="E350" s="67"/>
      <c r="F350" s="351">
        <f>+F348+F338+F331</f>
        <v>34715</v>
      </c>
      <c r="H350" s="126"/>
      <c r="K350" s="37"/>
      <c r="L350" s="60"/>
      <c r="M350" s="136"/>
      <c r="N350" s="117"/>
      <c r="O350" s="137"/>
      <c r="P350" s="134"/>
      <c r="Q350" s="134"/>
      <c r="R350" s="135"/>
      <c r="S350" s="37"/>
    </row>
    <row r="351" spans="1:19" ht="15.75" thickBot="1" x14ac:dyDescent="0.3">
      <c r="A351" s="37"/>
      <c r="B351" s="36"/>
      <c r="C351" s="37"/>
      <c r="D351" s="37"/>
      <c r="E351" s="39"/>
      <c r="F351" s="59"/>
      <c r="K351" s="37"/>
      <c r="L351" s="60"/>
      <c r="M351" s="127"/>
      <c r="N351" s="118"/>
      <c r="O351" s="127"/>
      <c r="P351" s="127"/>
      <c r="Q351" s="128"/>
      <c r="R351" s="135"/>
      <c r="S351" s="37"/>
    </row>
    <row r="352" spans="1:19" ht="47.25" customHeight="1" x14ac:dyDescent="0.25">
      <c r="A352" s="1" t="s">
        <v>47</v>
      </c>
      <c r="B352" s="355" t="s">
        <v>234</v>
      </c>
      <c r="C352" s="355"/>
      <c r="D352" s="355"/>
      <c r="E352" s="3"/>
      <c r="F352" s="5" t="s">
        <v>15</v>
      </c>
      <c r="K352" s="37"/>
      <c r="L352" s="60"/>
      <c r="M352" s="39"/>
      <c r="N352" s="50"/>
      <c r="O352" s="61"/>
      <c r="P352" s="75"/>
      <c r="Q352" s="59"/>
      <c r="R352" s="59"/>
      <c r="S352" s="37"/>
    </row>
    <row r="353" spans="1:19" ht="18.75" customHeight="1" thickBot="1" x14ac:dyDescent="0.3">
      <c r="A353" s="70" t="s">
        <v>9</v>
      </c>
      <c r="B353" s="71">
        <v>2.4</v>
      </c>
      <c r="C353" s="10"/>
      <c r="D353" s="11"/>
      <c r="E353" s="10"/>
      <c r="F353" s="72" t="s">
        <v>26</v>
      </c>
      <c r="K353" s="37"/>
      <c r="L353" s="60"/>
      <c r="M353" s="37"/>
      <c r="N353" s="50"/>
      <c r="O353" s="61"/>
      <c r="P353" s="75"/>
      <c r="Q353" s="59"/>
      <c r="R353" s="59"/>
      <c r="S353" s="37"/>
    </row>
    <row r="354" spans="1:19" ht="15.75" thickBot="1" x14ac:dyDescent="0.3">
      <c r="A354" s="6"/>
      <c r="B354" s="36"/>
      <c r="C354" s="37"/>
      <c r="D354" s="38"/>
      <c r="E354" s="37"/>
      <c r="F354" s="7"/>
      <c r="K354" s="37"/>
      <c r="L354" s="60"/>
      <c r="M354" s="37"/>
      <c r="N354" s="36"/>
      <c r="O354" s="37"/>
      <c r="P354" s="37"/>
      <c r="Q354" s="39"/>
      <c r="R354" s="59"/>
      <c r="S354" s="37"/>
    </row>
    <row r="355" spans="1:19" ht="15.75" thickBot="1" x14ac:dyDescent="0.3">
      <c r="A355" s="33" t="s">
        <v>179</v>
      </c>
      <c r="B355" s="40" t="s">
        <v>47</v>
      </c>
      <c r="C355" s="34" t="s">
        <v>15</v>
      </c>
      <c r="D355" s="35" t="s">
        <v>16</v>
      </c>
      <c r="E355" s="34" t="s">
        <v>17</v>
      </c>
      <c r="F355" s="41" t="s">
        <v>18</v>
      </c>
      <c r="K355" s="37"/>
      <c r="L355" s="60"/>
      <c r="M355" s="39"/>
      <c r="N355" s="36"/>
      <c r="O355" s="37"/>
      <c r="P355" s="37"/>
      <c r="Q355" s="37"/>
      <c r="R355" s="37"/>
      <c r="S355" s="37"/>
    </row>
    <row r="356" spans="1:19" ht="15.75" thickBot="1" x14ac:dyDescent="0.3">
      <c r="A356" s="6"/>
      <c r="B356" s="36"/>
      <c r="C356" s="37"/>
      <c r="D356" s="38"/>
      <c r="E356" s="37"/>
      <c r="F356" s="7"/>
      <c r="K356" s="37"/>
      <c r="L356" s="60"/>
      <c r="M356" s="37"/>
      <c r="N356" s="53"/>
      <c r="O356" s="39"/>
      <c r="P356" s="39"/>
      <c r="Q356" s="39"/>
      <c r="R356" s="39"/>
      <c r="S356" s="37"/>
    </row>
    <row r="357" spans="1:19" ht="15.75" thickBot="1" x14ac:dyDescent="0.3">
      <c r="A357" s="1" t="s">
        <v>19</v>
      </c>
      <c r="B357" s="13"/>
      <c r="C357" s="14"/>
      <c r="D357" s="15"/>
      <c r="E357" s="14"/>
      <c r="F357" s="16"/>
      <c r="K357" s="37"/>
      <c r="L357" s="60"/>
      <c r="M357" s="57"/>
      <c r="N357" s="53"/>
      <c r="O357" s="125"/>
      <c r="P357" s="125"/>
      <c r="Q357" s="125"/>
      <c r="R357" s="59"/>
      <c r="S357" s="37"/>
    </row>
    <row r="358" spans="1:19" ht="30" x14ac:dyDescent="0.25">
      <c r="A358" s="241"/>
      <c r="B358" s="96" t="s">
        <v>30</v>
      </c>
      <c r="C358" s="97" t="s">
        <v>29</v>
      </c>
      <c r="D358" s="20">
        <v>0.1</v>
      </c>
      <c r="E358" s="183">
        <v>164667</v>
      </c>
      <c r="F358" s="184">
        <f>ROUND(D358*E358,)</f>
        <v>16467</v>
      </c>
      <c r="K358" s="37"/>
      <c r="L358" s="60"/>
      <c r="M358" s="39"/>
      <c r="N358" s="348"/>
      <c r="O358" s="125"/>
      <c r="P358" s="125"/>
      <c r="Q358" s="125"/>
      <c r="R358" s="59"/>
      <c r="S358" s="37"/>
    </row>
    <row r="359" spans="1:19" ht="20.25" customHeight="1" thickBot="1" x14ac:dyDescent="0.3">
      <c r="A359" s="77"/>
      <c r="B359" s="78" t="s">
        <v>98</v>
      </c>
      <c r="C359" s="79" t="s">
        <v>29</v>
      </c>
      <c r="D359" s="80">
        <v>0.05</v>
      </c>
      <c r="E359" s="192">
        <v>133000</v>
      </c>
      <c r="F359" s="189">
        <f>ROUND(D359*E359,)</f>
        <v>6650</v>
      </c>
      <c r="K359" s="37"/>
      <c r="L359" s="60"/>
      <c r="M359" s="55"/>
      <c r="N359" s="348"/>
      <c r="O359" s="125"/>
      <c r="P359" s="125"/>
      <c r="Q359" s="125"/>
      <c r="R359" s="59"/>
      <c r="S359" s="37"/>
    </row>
    <row r="360" spans="1:19" ht="15.75" thickBot="1" x14ac:dyDescent="0.3">
      <c r="A360" s="6"/>
      <c r="B360" s="36"/>
      <c r="C360" s="37"/>
      <c r="D360" s="38"/>
      <c r="E360" s="39" t="s">
        <v>20</v>
      </c>
      <c r="F360" s="187">
        <f>+F358+F359</f>
        <v>23117</v>
      </c>
      <c r="K360" s="37"/>
      <c r="L360" s="60"/>
      <c r="M360" s="60"/>
      <c r="N360" s="348"/>
      <c r="O360" s="125"/>
      <c r="P360" s="125"/>
      <c r="Q360" s="125"/>
      <c r="R360" s="59"/>
      <c r="S360" s="37"/>
    </row>
    <row r="361" spans="1:19" ht="15.75" thickBot="1" x14ac:dyDescent="0.3">
      <c r="A361" s="6"/>
      <c r="B361" s="36"/>
      <c r="C361" s="37"/>
      <c r="D361" s="38"/>
      <c r="E361" s="37"/>
      <c r="F361" s="7"/>
      <c r="K361" s="37"/>
      <c r="L361" s="60"/>
      <c r="M361" s="60"/>
      <c r="N361" s="348"/>
      <c r="O361" s="57"/>
      <c r="P361" s="75"/>
      <c r="Q361" s="59"/>
      <c r="R361" s="59"/>
      <c r="S361" s="37"/>
    </row>
    <row r="362" spans="1:19" ht="15.75" thickBot="1" x14ac:dyDescent="0.3">
      <c r="A362" s="44" t="s">
        <v>21</v>
      </c>
      <c r="B362" s="45"/>
      <c r="C362" s="46"/>
      <c r="D362" s="47"/>
      <c r="E362" s="46"/>
      <c r="F362" s="48"/>
      <c r="K362" s="37"/>
      <c r="L362" s="60"/>
      <c r="M362" s="37"/>
      <c r="N362" s="36"/>
      <c r="O362" s="37"/>
      <c r="P362" s="37"/>
      <c r="Q362" s="39"/>
      <c r="R362" s="59"/>
      <c r="S362" s="37"/>
    </row>
    <row r="363" spans="1:19" x14ac:dyDescent="0.25">
      <c r="A363" s="108"/>
      <c r="B363" s="96" t="s">
        <v>34</v>
      </c>
      <c r="C363" s="97" t="s">
        <v>35</v>
      </c>
      <c r="D363" s="20">
        <v>1.5</v>
      </c>
      <c r="E363" s="183">
        <v>1700</v>
      </c>
      <c r="F363" s="184">
        <f t="shared" ref="F363:F366" si="32">ROUND(D363*E363,)</f>
        <v>2550</v>
      </c>
      <c r="K363" s="37"/>
      <c r="L363" s="60"/>
      <c r="M363" s="39"/>
      <c r="N363" s="53"/>
      <c r="O363" s="39"/>
      <c r="P363" s="39"/>
      <c r="Q363" s="39"/>
      <c r="R363" s="39"/>
      <c r="S363" s="37"/>
    </row>
    <row r="364" spans="1:19" ht="30" x14ac:dyDescent="0.25">
      <c r="A364" s="108"/>
      <c r="B364" s="236" t="s">
        <v>209</v>
      </c>
      <c r="C364" s="237" t="s">
        <v>37</v>
      </c>
      <c r="D364" s="123">
        <v>0.8</v>
      </c>
      <c r="E364" s="182">
        <v>1200</v>
      </c>
      <c r="F364" s="185">
        <f t="shared" si="32"/>
        <v>960</v>
      </c>
      <c r="K364" s="37"/>
      <c r="L364" s="60"/>
      <c r="M364" s="39"/>
      <c r="N364" s="348"/>
      <c r="O364" s="57"/>
      <c r="P364" s="75"/>
      <c r="Q364" s="59"/>
      <c r="R364" s="59"/>
      <c r="S364" s="37"/>
    </row>
    <row r="365" spans="1:19" ht="16.5" customHeight="1" x14ac:dyDescent="0.25">
      <c r="A365" s="108"/>
      <c r="B365" s="85" t="s">
        <v>211</v>
      </c>
      <c r="C365" s="86" t="s">
        <v>40</v>
      </c>
      <c r="D365" s="83">
        <v>0.8</v>
      </c>
      <c r="E365" s="180">
        <v>1200</v>
      </c>
      <c r="F365" s="185">
        <f t="shared" si="32"/>
        <v>960</v>
      </c>
      <c r="K365" s="37"/>
      <c r="L365" s="60"/>
      <c r="M365" s="39"/>
      <c r="N365" s="50"/>
      <c r="O365" s="61"/>
      <c r="P365" s="75"/>
      <c r="Q365" s="59"/>
      <c r="R365" s="59"/>
      <c r="S365" s="37"/>
    </row>
    <row r="366" spans="1:19" ht="15.75" thickBot="1" x14ac:dyDescent="0.3">
      <c r="A366" s="23"/>
      <c r="B366" s="24" t="s">
        <v>36</v>
      </c>
      <c r="C366" s="25" t="s">
        <v>37</v>
      </c>
      <c r="D366" s="26">
        <v>0.8</v>
      </c>
      <c r="E366" s="181">
        <v>120</v>
      </c>
      <c r="F366" s="186">
        <f t="shared" si="32"/>
        <v>96</v>
      </c>
      <c r="K366" s="37"/>
      <c r="L366" s="60"/>
      <c r="M366" s="39"/>
      <c r="N366" s="50"/>
      <c r="O366" s="61"/>
      <c r="P366" s="75"/>
      <c r="Q366" s="59"/>
      <c r="R366" s="59"/>
      <c r="S366" s="37"/>
    </row>
    <row r="367" spans="1:19" ht="15.75" thickBot="1" x14ac:dyDescent="0.3">
      <c r="A367" s="6"/>
      <c r="B367" s="36"/>
      <c r="C367" s="37"/>
      <c r="D367" s="38"/>
      <c r="E367" s="39" t="s">
        <v>22</v>
      </c>
      <c r="F367" s="187">
        <f>SUM(F363:F366)</f>
        <v>4566</v>
      </c>
      <c r="K367" s="37"/>
      <c r="L367" s="60"/>
      <c r="M367" s="39"/>
      <c r="N367" s="50"/>
      <c r="O367" s="61"/>
      <c r="P367" s="37"/>
      <c r="Q367" s="75"/>
      <c r="R367" s="59"/>
      <c r="S367" s="37"/>
    </row>
    <row r="368" spans="1:19" ht="15.75" thickBot="1" x14ac:dyDescent="0.3">
      <c r="A368" s="6"/>
      <c r="B368" s="36"/>
      <c r="C368" s="37"/>
      <c r="D368" s="38"/>
      <c r="E368" s="37"/>
      <c r="F368" s="7"/>
      <c r="K368" s="37"/>
      <c r="L368" s="60"/>
      <c r="M368" s="55"/>
      <c r="N368" s="50"/>
      <c r="O368" s="61"/>
      <c r="P368" s="75"/>
      <c r="Q368" s="75"/>
      <c r="R368" s="59"/>
      <c r="S368" s="37"/>
    </row>
    <row r="369" spans="1:19" ht="15.75" thickBot="1" x14ac:dyDescent="0.3">
      <c r="A369" s="1" t="s">
        <v>23</v>
      </c>
      <c r="B369" s="13"/>
      <c r="C369" s="14"/>
      <c r="D369" s="15"/>
      <c r="E369" s="14"/>
      <c r="F369" s="16"/>
      <c r="K369" s="37"/>
      <c r="L369" s="60"/>
      <c r="M369" s="37"/>
      <c r="N369" s="36"/>
      <c r="O369" s="37"/>
      <c r="P369" s="37"/>
      <c r="Q369" s="39"/>
      <c r="R369" s="59"/>
      <c r="S369" s="37"/>
    </row>
    <row r="370" spans="1:19" ht="27.75" customHeight="1" x14ac:dyDescent="0.25">
      <c r="A370" s="17"/>
      <c r="B370" s="18" t="s">
        <v>249</v>
      </c>
      <c r="C370" s="19" t="s">
        <v>0</v>
      </c>
      <c r="D370" s="20">
        <v>0.25</v>
      </c>
      <c r="E370" s="197">
        <v>1500</v>
      </c>
      <c r="F370" s="184">
        <f>ROUND(D370*E370,)</f>
        <v>375</v>
      </c>
      <c r="K370" s="37"/>
      <c r="L370" s="60"/>
      <c r="M370" s="37"/>
      <c r="N370" s="36"/>
      <c r="O370" s="37"/>
      <c r="P370" s="37"/>
      <c r="Q370" s="37"/>
      <c r="R370" s="37"/>
      <c r="S370" s="37"/>
    </row>
    <row r="371" spans="1:19" x14ac:dyDescent="0.25">
      <c r="A371" s="92"/>
      <c r="B371" s="87" t="s">
        <v>250</v>
      </c>
      <c r="C371" s="88" t="s">
        <v>251</v>
      </c>
      <c r="D371" s="89">
        <v>0.8</v>
      </c>
      <c r="E371" s="182">
        <v>60</v>
      </c>
      <c r="F371" s="188">
        <f>ROUND(D371*E371,)</f>
        <v>48</v>
      </c>
      <c r="K371" s="37"/>
      <c r="L371" s="60"/>
      <c r="M371" s="39"/>
      <c r="N371" s="53"/>
      <c r="O371" s="39"/>
      <c r="P371" s="39"/>
      <c r="Q371" s="39"/>
      <c r="R371" s="39"/>
      <c r="S371" s="37"/>
    </row>
    <row r="372" spans="1:19" x14ac:dyDescent="0.25">
      <c r="A372" s="91"/>
      <c r="B372" s="43" t="s">
        <v>252</v>
      </c>
      <c r="C372" s="82" t="s">
        <v>128</v>
      </c>
      <c r="D372" s="83">
        <v>3.33</v>
      </c>
      <c r="E372" s="180">
        <v>5565</v>
      </c>
      <c r="F372" s="185">
        <f t="shared" ref="F372:F376" si="33">ROUND(D372*E372,)</f>
        <v>18531</v>
      </c>
      <c r="K372" s="37"/>
      <c r="L372" s="60"/>
      <c r="M372" s="55"/>
      <c r="N372" s="348"/>
      <c r="O372" s="57"/>
      <c r="P372" s="75"/>
      <c r="Q372" s="59"/>
      <c r="R372" s="59"/>
      <c r="S372" s="37"/>
    </row>
    <row r="373" spans="1:19" x14ac:dyDescent="0.25">
      <c r="A373" s="91"/>
      <c r="B373" s="43" t="s">
        <v>253</v>
      </c>
      <c r="C373" s="82" t="s">
        <v>254</v>
      </c>
      <c r="D373" s="83">
        <v>2.5000000000000001E-2</v>
      </c>
      <c r="E373" s="180">
        <v>88640</v>
      </c>
      <c r="F373" s="185">
        <f t="shared" si="33"/>
        <v>2216</v>
      </c>
      <c r="K373" s="37"/>
      <c r="L373" s="60"/>
      <c r="M373" s="55"/>
      <c r="N373" s="348"/>
      <c r="O373" s="57"/>
      <c r="P373" s="75"/>
      <c r="Q373" s="59"/>
      <c r="R373" s="59"/>
      <c r="S373" s="37"/>
    </row>
    <row r="374" spans="1:19" ht="30" x14ac:dyDescent="0.25">
      <c r="A374" s="91"/>
      <c r="B374" s="87" t="s">
        <v>255</v>
      </c>
      <c r="C374" s="88" t="s">
        <v>49</v>
      </c>
      <c r="D374" s="123">
        <v>3</v>
      </c>
      <c r="E374" s="182">
        <v>2200</v>
      </c>
      <c r="F374" s="210">
        <f t="shared" si="33"/>
        <v>6600</v>
      </c>
      <c r="K374" s="37"/>
      <c r="L374" s="60"/>
      <c r="M374" s="55"/>
      <c r="N374" s="348"/>
      <c r="O374" s="57"/>
      <c r="P374" s="75"/>
      <c r="Q374" s="59"/>
      <c r="R374" s="59"/>
      <c r="S374" s="37"/>
    </row>
    <row r="375" spans="1:19" x14ac:dyDescent="0.25">
      <c r="A375" s="91"/>
      <c r="B375" s="87"/>
      <c r="C375" s="88"/>
      <c r="D375" s="115"/>
      <c r="E375" s="180"/>
      <c r="F375" s="196">
        <f t="shared" si="33"/>
        <v>0</v>
      </c>
      <c r="K375" s="37"/>
      <c r="L375" s="60"/>
      <c r="M375" s="60"/>
      <c r="N375" s="50"/>
      <c r="O375" s="61"/>
      <c r="P375" s="75"/>
      <c r="Q375" s="59"/>
      <c r="R375" s="59"/>
      <c r="S375" s="37"/>
    </row>
    <row r="376" spans="1:19" ht="15.75" thickBot="1" x14ac:dyDescent="0.3">
      <c r="A376" s="30"/>
      <c r="B376" s="31"/>
      <c r="C376" s="32"/>
      <c r="D376" s="140"/>
      <c r="E376" s="181"/>
      <c r="F376" s="246">
        <f t="shared" si="33"/>
        <v>0</v>
      </c>
      <c r="K376" s="37"/>
      <c r="L376" s="60"/>
      <c r="M376" s="60"/>
      <c r="N376" s="50"/>
      <c r="O376" s="61"/>
      <c r="P376" s="75"/>
      <c r="Q376" s="59"/>
      <c r="R376" s="59"/>
      <c r="S376" s="37"/>
    </row>
    <row r="377" spans="1:19" ht="15.75" thickBot="1" x14ac:dyDescent="0.3">
      <c r="A377" s="6"/>
      <c r="B377" s="36"/>
      <c r="C377" s="37"/>
      <c r="D377" s="38"/>
      <c r="E377" s="39" t="s">
        <v>24</v>
      </c>
      <c r="F377" s="187">
        <f>SUM(F370:F376)</f>
        <v>27770</v>
      </c>
      <c r="J377">
        <f>462500/5</f>
        <v>92500</v>
      </c>
      <c r="K377" s="37"/>
      <c r="L377" s="60"/>
      <c r="M377" s="136"/>
      <c r="N377" s="147"/>
      <c r="O377" s="137"/>
      <c r="P377" s="127"/>
      <c r="Q377" s="134"/>
      <c r="R377" s="135"/>
      <c r="S377" s="37"/>
    </row>
    <row r="378" spans="1:19" ht="15.75" thickBot="1" x14ac:dyDescent="0.3">
      <c r="A378" s="6"/>
      <c r="B378" s="36"/>
      <c r="C378" s="37"/>
      <c r="D378" s="38"/>
      <c r="E378" s="39"/>
      <c r="F378" s="144"/>
      <c r="K378" s="37"/>
      <c r="L378" s="60"/>
      <c r="M378" s="136"/>
      <c r="N378" s="147"/>
      <c r="O378" s="137"/>
      <c r="P378" s="127"/>
      <c r="Q378" s="134"/>
      <c r="R378" s="135"/>
      <c r="S378" s="37"/>
    </row>
    <row r="379" spans="1:19" ht="15.75" thickBot="1" x14ac:dyDescent="0.3">
      <c r="A379" s="69" t="s">
        <v>12</v>
      </c>
      <c r="B379" s="64" t="s">
        <v>25</v>
      </c>
      <c r="C379" s="65"/>
      <c r="D379" s="66"/>
      <c r="E379" s="67"/>
      <c r="F379" s="353">
        <f>+F377+F367+F360</f>
        <v>55453</v>
      </c>
      <c r="H379" s="126"/>
      <c r="K379" s="37"/>
      <c r="L379" s="60"/>
      <c r="M379" s="136"/>
      <c r="N379" s="117"/>
      <c r="O379" s="137"/>
      <c r="P379" s="134"/>
      <c r="Q379" s="134"/>
      <c r="R379" s="135"/>
      <c r="S379" s="37"/>
    </row>
    <row r="380" spans="1:19" ht="15.75" thickBot="1" x14ac:dyDescent="0.3">
      <c r="A380" s="37"/>
      <c r="B380" s="36"/>
      <c r="C380" s="37"/>
      <c r="D380" s="37"/>
      <c r="E380" s="39"/>
      <c r="F380" s="59"/>
      <c r="K380" s="37"/>
      <c r="L380" s="60"/>
      <c r="M380" s="127"/>
      <c r="N380" s="118"/>
      <c r="O380" s="127"/>
      <c r="P380" s="127"/>
      <c r="Q380" s="128"/>
      <c r="R380" s="135"/>
      <c r="S380" s="37"/>
    </row>
    <row r="381" spans="1:19" ht="31.5" customHeight="1" x14ac:dyDescent="0.25">
      <c r="A381" s="1" t="s">
        <v>47</v>
      </c>
      <c r="B381" s="355" t="s">
        <v>124</v>
      </c>
      <c r="C381" s="355"/>
      <c r="D381" s="355"/>
      <c r="E381" s="3"/>
      <c r="F381" s="5" t="s">
        <v>15</v>
      </c>
      <c r="K381" s="37"/>
      <c r="L381" s="60"/>
      <c r="M381" s="128"/>
      <c r="N381" s="118"/>
      <c r="O381" s="127"/>
      <c r="P381" s="127"/>
      <c r="Q381" s="127"/>
      <c r="R381" s="129"/>
      <c r="S381" s="37"/>
    </row>
    <row r="382" spans="1:19" ht="15.75" thickBot="1" x14ac:dyDescent="0.3">
      <c r="A382" s="70" t="s">
        <v>9</v>
      </c>
      <c r="B382" s="71">
        <v>2.5</v>
      </c>
      <c r="C382" s="10"/>
      <c r="D382" s="11"/>
      <c r="E382" s="10"/>
      <c r="F382" s="72" t="s">
        <v>26</v>
      </c>
      <c r="K382" s="37"/>
      <c r="L382" s="60"/>
      <c r="M382" s="127"/>
      <c r="N382" s="117"/>
      <c r="O382" s="127"/>
      <c r="P382" s="127"/>
      <c r="Q382" s="127"/>
      <c r="R382" s="130"/>
      <c r="S382" s="37"/>
    </row>
    <row r="383" spans="1:19" ht="15.75" thickBot="1" x14ac:dyDescent="0.3">
      <c r="A383" s="8"/>
      <c r="B383" s="9"/>
      <c r="C383" s="10"/>
      <c r="D383" s="11"/>
      <c r="E383" s="10"/>
      <c r="F383" s="12"/>
      <c r="K383" s="37"/>
      <c r="L383" s="60"/>
      <c r="M383" s="127"/>
      <c r="N383" s="118"/>
      <c r="O383" s="127"/>
      <c r="P383" s="127"/>
      <c r="Q383" s="127"/>
      <c r="R383" s="127"/>
      <c r="S383" s="37"/>
    </row>
    <row r="384" spans="1:19" ht="15.75" thickBot="1" x14ac:dyDescent="0.3">
      <c r="A384" s="33" t="s">
        <v>179</v>
      </c>
      <c r="B384" s="40" t="s">
        <v>47</v>
      </c>
      <c r="C384" s="34" t="s">
        <v>15</v>
      </c>
      <c r="D384" s="35" t="s">
        <v>16</v>
      </c>
      <c r="E384" s="34" t="s">
        <v>17</v>
      </c>
      <c r="F384" s="41" t="s">
        <v>18</v>
      </c>
      <c r="K384" s="37"/>
      <c r="L384" s="60"/>
      <c r="M384" s="128"/>
      <c r="N384" s="117"/>
      <c r="O384" s="127"/>
      <c r="P384" s="127"/>
      <c r="Q384" s="127"/>
      <c r="R384" s="127"/>
      <c r="S384" s="37"/>
    </row>
    <row r="385" spans="1:19" ht="15.75" thickBot="1" x14ac:dyDescent="0.3">
      <c r="A385" s="6"/>
      <c r="B385" s="36"/>
      <c r="C385" s="37"/>
      <c r="D385" s="38"/>
      <c r="E385" s="37"/>
      <c r="F385" s="7"/>
      <c r="K385" s="37"/>
      <c r="L385" s="60"/>
      <c r="M385" s="127"/>
      <c r="N385" s="118"/>
      <c r="O385" s="127"/>
      <c r="P385" s="127"/>
      <c r="Q385" s="127"/>
      <c r="R385" s="127"/>
      <c r="S385" s="37"/>
    </row>
    <row r="386" spans="1:19" ht="15.75" thickBot="1" x14ac:dyDescent="0.3">
      <c r="A386" s="1" t="s">
        <v>19</v>
      </c>
      <c r="B386" s="13"/>
      <c r="C386" s="14"/>
      <c r="D386" s="15"/>
      <c r="E386" s="14"/>
      <c r="F386" s="16"/>
      <c r="K386" s="37"/>
      <c r="L386" s="60"/>
      <c r="M386" s="130"/>
      <c r="N386" s="131"/>
      <c r="O386" s="130"/>
      <c r="P386" s="130"/>
      <c r="Q386" s="130"/>
      <c r="R386" s="130"/>
      <c r="S386" s="37"/>
    </row>
    <row r="387" spans="1:19" ht="30" x14ac:dyDescent="0.25">
      <c r="A387" s="241"/>
      <c r="B387" s="96" t="s">
        <v>30</v>
      </c>
      <c r="C387" s="97" t="s">
        <v>29</v>
      </c>
      <c r="D387" s="20">
        <v>7.0000000000000007E-2</v>
      </c>
      <c r="E387" s="183">
        <v>164667</v>
      </c>
      <c r="F387" s="184">
        <f>ROUND(D387*E387,)</f>
        <v>11527</v>
      </c>
      <c r="K387" s="58"/>
      <c r="L387" s="60"/>
      <c r="M387" s="127"/>
      <c r="N387" s="118"/>
      <c r="O387" s="127"/>
      <c r="P387" s="127"/>
      <c r="Q387" s="127"/>
      <c r="R387" s="127"/>
      <c r="S387" s="37"/>
    </row>
    <row r="388" spans="1:19" ht="15.75" thickBot="1" x14ac:dyDescent="0.3">
      <c r="A388" s="77"/>
      <c r="B388" s="78" t="s">
        <v>98</v>
      </c>
      <c r="C388" s="79" t="s">
        <v>29</v>
      </c>
      <c r="D388" s="80">
        <v>0.04</v>
      </c>
      <c r="E388" s="192">
        <v>133000</v>
      </c>
      <c r="F388" s="189">
        <f>ROUND(D388*E388,)</f>
        <v>5320</v>
      </c>
      <c r="K388" s="58"/>
      <c r="L388" s="60"/>
      <c r="M388" s="128"/>
      <c r="N388" s="42"/>
      <c r="O388" s="128"/>
      <c r="P388" s="128"/>
      <c r="Q388" s="128"/>
      <c r="R388" s="128"/>
      <c r="S388" s="37"/>
    </row>
    <row r="389" spans="1:19" ht="15.75" thickBot="1" x14ac:dyDescent="0.3">
      <c r="A389" s="6"/>
      <c r="B389" s="36"/>
      <c r="C389" s="37"/>
      <c r="D389" s="38"/>
      <c r="E389" s="39" t="s">
        <v>20</v>
      </c>
      <c r="F389" s="187">
        <f>+F387+F388</f>
        <v>16847</v>
      </c>
      <c r="K389" s="38"/>
      <c r="L389" s="60"/>
      <c r="M389" s="132"/>
      <c r="N389" s="133"/>
      <c r="O389" s="130"/>
      <c r="P389" s="134"/>
      <c r="Q389" s="135"/>
      <c r="R389" s="135"/>
      <c r="S389" s="37"/>
    </row>
    <row r="390" spans="1:19" ht="15.75" thickBot="1" x14ac:dyDescent="0.3">
      <c r="A390" s="6"/>
      <c r="B390" s="36"/>
      <c r="C390" s="37"/>
      <c r="D390" s="38"/>
      <c r="E390" s="37"/>
      <c r="F390" s="7"/>
      <c r="K390" s="37"/>
      <c r="L390" s="60"/>
      <c r="M390" s="136"/>
      <c r="N390" s="117"/>
      <c r="O390" s="137"/>
      <c r="P390" s="134"/>
      <c r="Q390" s="135"/>
      <c r="R390" s="135"/>
      <c r="S390" s="37"/>
    </row>
    <row r="391" spans="1:19" ht="15.75" thickBot="1" x14ac:dyDescent="0.3">
      <c r="A391" s="1" t="s">
        <v>21</v>
      </c>
      <c r="B391" s="13"/>
      <c r="C391" s="14"/>
      <c r="D391" s="15"/>
      <c r="E391" s="14"/>
      <c r="F391" s="16"/>
      <c r="K391" s="39"/>
      <c r="L391" s="60"/>
      <c r="M391" s="127"/>
      <c r="N391" s="118"/>
      <c r="O391" s="127"/>
      <c r="P391" s="127"/>
      <c r="Q391" s="128"/>
      <c r="R391" s="135"/>
      <c r="S391" s="37"/>
    </row>
    <row r="392" spans="1:19" x14ac:dyDescent="0.25">
      <c r="A392" s="103"/>
      <c r="B392" s="109" t="s">
        <v>31</v>
      </c>
      <c r="C392" s="110" t="s">
        <v>32</v>
      </c>
      <c r="D392" s="112">
        <v>0.02</v>
      </c>
      <c r="E392" s="183">
        <v>62433</v>
      </c>
      <c r="F392" s="184">
        <f>ROUND(D392*E392,)</f>
        <v>1249</v>
      </c>
      <c r="K392" s="58"/>
      <c r="L392" s="60"/>
      <c r="M392" s="127"/>
      <c r="N392" s="118"/>
      <c r="O392" s="127"/>
      <c r="P392" s="127"/>
      <c r="Q392" s="127"/>
      <c r="R392" s="127"/>
      <c r="S392" s="37"/>
    </row>
    <row r="393" spans="1:19" ht="15.75" thickBot="1" x14ac:dyDescent="0.3">
      <c r="A393" s="23"/>
      <c r="B393" s="24" t="s">
        <v>34</v>
      </c>
      <c r="C393" s="25" t="s">
        <v>35</v>
      </c>
      <c r="D393" s="26">
        <v>0.2</v>
      </c>
      <c r="E393" s="181">
        <v>1700</v>
      </c>
      <c r="F393" s="189">
        <f>ROUND(D393*E393,)</f>
        <v>340</v>
      </c>
      <c r="K393" s="58"/>
      <c r="L393" s="60"/>
      <c r="M393" s="128"/>
      <c r="N393" s="42"/>
      <c r="O393" s="128"/>
      <c r="P393" s="128"/>
      <c r="Q393" s="128"/>
      <c r="R393" s="128"/>
      <c r="S393" s="37"/>
    </row>
    <row r="394" spans="1:19" ht="15.75" thickBot="1" x14ac:dyDescent="0.3">
      <c r="A394" s="6"/>
      <c r="B394" s="36"/>
      <c r="C394" s="37"/>
      <c r="D394" s="38"/>
      <c r="E394" s="39" t="s">
        <v>22</v>
      </c>
      <c r="F394" s="187">
        <f>SUM(F392:F393)</f>
        <v>1589</v>
      </c>
      <c r="K394" s="38"/>
      <c r="L394" s="60"/>
      <c r="M394" s="136"/>
      <c r="N394" s="117"/>
      <c r="O394" s="137"/>
      <c r="P394" s="134"/>
      <c r="Q394" s="135"/>
      <c r="R394" s="135"/>
      <c r="S394" s="37"/>
    </row>
    <row r="395" spans="1:19" ht="15.75" thickBot="1" x14ac:dyDescent="0.3">
      <c r="A395" s="6"/>
      <c r="B395" s="36"/>
      <c r="C395" s="37"/>
      <c r="D395" s="38"/>
      <c r="E395" s="37"/>
      <c r="F395" s="7"/>
      <c r="K395" s="38"/>
      <c r="L395" s="60"/>
      <c r="M395" s="136"/>
      <c r="N395" s="117"/>
      <c r="O395" s="137"/>
      <c r="P395" s="134"/>
      <c r="Q395" s="135"/>
      <c r="R395" s="135"/>
      <c r="S395" s="37"/>
    </row>
    <row r="396" spans="1:19" ht="15.75" thickBot="1" x14ac:dyDescent="0.3">
      <c r="A396" s="1" t="s">
        <v>23</v>
      </c>
      <c r="B396" s="13"/>
      <c r="C396" s="14"/>
      <c r="D396" s="15"/>
      <c r="E396" s="14"/>
      <c r="F396" s="16"/>
      <c r="K396" s="54"/>
      <c r="L396" s="60"/>
      <c r="M396" s="127"/>
      <c r="N396" s="118"/>
      <c r="O396" s="127"/>
      <c r="P396" s="127"/>
      <c r="Q396" s="128"/>
      <c r="R396" s="135"/>
      <c r="S396" s="37"/>
    </row>
    <row r="397" spans="1:19" x14ac:dyDescent="0.25">
      <c r="A397" s="17"/>
      <c r="B397" s="18"/>
      <c r="C397" s="19"/>
      <c r="D397" s="20"/>
      <c r="E397" s="183"/>
      <c r="F397" s="184">
        <f>ROUND(D397*E397,)</f>
        <v>0</v>
      </c>
      <c r="K397" s="58"/>
      <c r="L397" s="60"/>
      <c r="M397" s="127"/>
      <c r="N397" s="118"/>
      <c r="O397" s="127"/>
      <c r="P397" s="127"/>
      <c r="Q397" s="127"/>
      <c r="R397" s="127"/>
      <c r="S397" s="37"/>
    </row>
    <row r="398" spans="1:19" ht="18" customHeight="1" thickBot="1" x14ac:dyDescent="0.3">
      <c r="A398" s="227"/>
      <c r="B398" s="228" t="s">
        <v>48</v>
      </c>
      <c r="C398" s="229" t="s">
        <v>49</v>
      </c>
      <c r="D398" s="80">
        <v>4.1500000000000004</v>
      </c>
      <c r="E398" s="192">
        <v>4956</v>
      </c>
      <c r="F398" s="189">
        <f>ROUND(D398*E398,)</f>
        <v>20567</v>
      </c>
      <c r="K398" s="58"/>
      <c r="L398" s="60"/>
      <c r="M398" s="128"/>
      <c r="N398" s="42"/>
      <c r="O398" s="128"/>
      <c r="P398" s="128"/>
      <c r="Q398" s="128"/>
      <c r="R398" s="128"/>
      <c r="S398" s="37"/>
    </row>
    <row r="399" spans="1:19" ht="15.75" thickBot="1" x14ac:dyDescent="0.3">
      <c r="A399" s="6"/>
      <c r="B399" s="36"/>
      <c r="C399" s="37"/>
      <c r="D399" s="38"/>
      <c r="E399" s="37"/>
      <c r="F399" s="7"/>
      <c r="K399" s="58"/>
      <c r="L399" s="60"/>
      <c r="M399" s="136"/>
      <c r="N399" s="117"/>
      <c r="O399" s="137"/>
      <c r="P399" s="134"/>
      <c r="Q399" s="135"/>
      <c r="R399" s="135"/>
      <c r="S399" s="37"/>
    </row>
    <row r="400" spans="1:19" ht="15.75" thickBot="1" x14ac:dyDescent="0.3">
      <c r="A400" s="69" t="s">
        <v>12</v>
      </c>
      <c r="B400" s="64" t="s">
        <v>25</v>
      </c>
      <c r="C400" s="65"/>
      <c r="D400" s="66"/>
      <c r="E400" s="67"/>
      <c r="F400" s="351">
        <f>+F398+F394+F389+F397</f>
        <v>39003</v>
      </c>
      <c r="H400" s="126"/>
      <c r="K400" s="37"/>
      <c r="L400" s="60"/>
      <c r="M400" s="136"/>
      <c r="N400" s="117"/>
      <c r="O400" s="137"/>
      <c r="P400" s="134"/>
      <c r="Q400" s="135"/>
      <c r="R400" s="135"/>
      <c r="S400" s="37"/>
    </row>
    <row r="401" spans="1:19" ht="15.75" thickBot="1" x14ac:dyDescent="0.3">
      <c r="A401" s="37"/>
      <c r="B401" s="36"/>
      <c r="C401" s="37"/>
      <c r="D401" s="37"/>
      <c r="E401" s="39"/>
      <c r="F401" s="59"/>
      <c r="K401" s="37"/>
      <c r="L401" s="60"/>
      <c r="M401" s="127"/>
      <c r="N401" s="118"/>
      <c r="O401" s="127"/>
      <c r="P401" s="127"/>
      <c r="Q401" s="128"/>
      <c r="R401" s="135"/>
      <c r="S401" s="37"/>
    </row>
    <row r="402" spans="1:19" ht="31.5" customHeight="1" x14ac:dyDescent="0.25">
      <c r="A402" s="1" t="s">
        <v>47</v>
      </c>
      <c r="B402" s="355" t="s">
        <v>138</v>
      </c>
      <c r="C402" s="355"/>
      <c r="D402" s="355"/>
      <c r="E402" s="3"/>
      <c r="F402" s="5" t="s">
        <v>15</v>
      </c>
      <c r="K402" s="37"/>
      <c r="L402" s="60"/>
      <c r="M402" s="128"/>
      <c r="N402" s="118"/>
      <c r="O402" s="127"/>
      <c r="P402" s="127"/>
      <c r="Q402" s="127"/>
      <c r="R402" s="129"/>
      <c r="S402" s="37"/>
    </row>
    <row r="403" spans="1:19" ht="15.75" thickBot="1" x14ac:dyDescent="0.3">
      <c r="A403" s="70" t="s">
        <v>9</v>
      </c>
      <c r="B403" s="71">
        <v>2.5</v>
      </c>
      <c r="C403" s="10"/>
      <c r="D403" s="11"/>
      <c r="E403" s="10"/>
      <c r="F403" s="72" t="s">
        <v>62</v>
      </c>
      <c r="K403" s="37"/>
      <c r="L403" s="60"/>
      <c r="M403" s="127"/>
      <c r="N403" s="117"/>
      <c r="O403" s="127"/>
      <c r="P403" s="127"/>
      <c r="Q403" s="127"/>
      <c r="R403" s="130"/>
      <c r="S403" s="37"/>
    </row>
    <row r="404" spans="1:19" ht="15.75" thickBot="1" x14ac:dyDescent="0.3">
      <c r="A404" s="8"/>
      <c r="B404" s="9"/>
      <c r="C404" s="10"/>
      <c r="D404" s="11"/>
      <c r="E404" s="10"/>
      <c r="F404" s="12"/>
      <c r="K404" s="37"/>
      <c r="L404" s="60"/>
      <c r="M404" s="127"/>
      <c r="N404" s="118"/>
      <c r="O404" s="127"/>
      <c r="P404" s="127"/>
      <c r="Q404" s="127"/>
      <c r="R404" s="127"/>
      <c r="S404" s="37"/>
    </row>
    <row r="405" spans="1:19" ht="15.75" thickBot="1" x14ac:dyDescent="0.3">
      <c r="A405" s="33" t="s">
        <v>179</v>
      </c>
      <c r="B405" s="40" t="s">
        <v>47</v>
      </c>
      <c r="C405" s="34" t="s">
        <v>15</v>
      </c>
      <c r="D405" s="35" t="s">
        <v>16</v>
      </c>
      <c r="E405" s="34" t="s">
        <v>17</v>
      </c>
      <c r="F405" s="41" t="s">
        <v>18</v>
      </c>
      <c r="K405" s="37"/>
      <c r="L405" s="60"/>
      <c r="M405" s="128"/>
      <c r="N405" s="117"/>
      <c r="O405" s="127"/>
      <c r="P405" s="127"/>
      <c r="Q405" s="127"/>
      <c r="R405" s="127"/>
      <c r="S405" s="37"/>
    </row>
    <row r="406" spans="1:19" ht="15.75" thickBot="1" x14ac:dyDescent="0.3">
      <c r="A406" s="6"/>
      <c r="B406" s="36"/>
      <c r="C406" s="37"/>
      <c r="D406" s="38"/>
      <c r="E406" s="37"/>
      <c r="F406" s="7"/>
      <c r="K406" s="37"/>
      <c r="L406" s="60"/>
      <c r="M406" s="127"/>
      <c r="N406" s="118"/>
      <c r="O406" s="127"/>
      <c r="P406" s="127"/>
      <c r="Q406" s="127"/>
      <c r="R406" s="127"/>
      <c r="S406" s="37"/>
    </row>
    <row r="407" spans="1:19" ht="15.75" thickBot="1" x14ac:dyDescent="0.3">
      <c r="A407" s="1" t="s">
        <v>19</v>
      </c>
      <c r="B407" s="13"/>
      <c r="C407" s="14"/>
      <c r="D407" s="15"/>
      <c r="E407" s="14"/>
      <c r="F407" s="16"/>
      <c r="K407" s="37"/>
      <c r="L407" s="60"/>
      <c r="M407" s="130"/>
      <c r="N407" s="131"/>
      <c r="O407" s="130"/>
      <c r="P407" s="130"/>
      <c r="Q407" s="130"/>
      <c r="R407" s="130"/>
      <c r="S407" s="37"/>
    </row>
    <row r="408" spans="1:19" ht="30" x14ac:dyDescent="0.25">
      <c r="A408" s="241"/>
      <c r="B408" s="96" t="s">
        <v>30</v>
      </c>
      <c r="C408" s="97" t="s">
        <v>29</v>
      </c>
      <c r="D408" s="20">
        <v>0.65</v>
      </c>
      <c r="E408" s="183">
        <v>164667</v>
      </c>
      <c r="F408" s="184">
        <f>ROUND(D408*E408,)</f>
        <v>107034</v>
      </c>
      <c r="K408" s="58"/>
      <c r="L408" s="60"/>
      <c r="M408" s="127"/>
      <c r="N408" s="118"/>
      <c r="O408" s="127"/>
      <c r="P408" s="127"/>
      <c r="Q408" s="127"/>
      <c r="R408" s="127"/>
      <c r="S408" s="37"/>
    </row>
    <row r="409" spans="1:19" ht="15.75" thickBot="1" x14ac:dyDescent="0.3">
      <c r="A409" s="77"/>
      <c r="B409" s="78" t="s">
        <v>98</v>
      </c>
      <c r="C409" s="79" t="s">
        <v>29</v>
      </c>
      <c r="D409" s="80">
        <v>0.5</v>
      </c>
      <c r="E409" s="192">
        <v>133000</v>
      </c>
      <c r="F409" s="189">
        <f>ROUND(D409*E409,)</f>
        <v>66500</v>
      </c>
      <c r="K409" s="58"/>
      <c r="L409" s="60"/>
      <c r="M409" s="128"/>
      <c r="N409" s="42"/>
      <c r="O409" s="128"/>
      <c r="P409" s="128"/>
      <c r="Q409" s="128"/>
      <c r="R409" s="128"/>
      <c r="S409" s="37"/>
    </row>
    <row r="410" spans="1:19" ht="15.75" thickBot="1" x14ac:dyDescent="0.3">
      <c r="A410" s="6"/>
      <c r="B410" s="36"/>
      <c r="C410" s="37"/>
      <c r="D410" s="38"/>
      <c r="E410" s="39" t="s">
        <v>20</v>
      </c>
      <c r="F410" s="187">
        <f>+F408+F409</f>
        <v>173534</v>
      </c>
      <c r="K410" s="38"/>
      <c r="L410" s="60"/>
      <c r="M410" s="132"/>
      <c r="N410" s="133"/>
      <c r="O410" s="130"/>
      <c r="P410" s="134"/>
      <c r="Q410" s="135"/>
      <c r="R410" s="135"/>
      <c r="S410" s="37"/>
    </row>
    <row r="411" spans="1:19" ht="15.75" thickBot="1" x14ac:dyDescent="0.3">
      <c r="A411" s="6"/>
      <c r="B411" s="36"/>
      <c r="C411" s="37"/>
      <c r="D411" s="38"/>
      <c r="E411" s="37"/>
      <c r="F411" s="7"/>
      <c r="K411" s="37"/>
      <c r="L411" s="60"/>
      <c r="M411" s="136"/>
      <c r="N411" s="117"/>
      <c r="O411" s="137"/>
      <c r="P411" s="134"/>
      <c r="Q411" s="135"/>
      <c r="R411" s="135"/>
      <c r="S411" s="37"/>
    </row>
    <row r="412" spans="1:19" ht="15.75" thickBot="1" x14ac:dyDescent="0.3">
      <c r="A412" s="1" t="s">
        <v>21</v>
      </c>
      <c r="B412" s="13"/>
      <c r="C412" s="14"/>
      <c r="D412" s="15"/>
      <c r="E412" s="14"/>
      <c r="F412" s="16"/>
      <c r="K412" s="39"/>
      <c r="L412" s="60"/>
      <c r="M412" s="127"/>
      <c r="N412" s="118"/>
      <c r="O412" s="127"/>
      <c r="P412" s="127"/>
      <c r="Q412" s="128"/>
      <c r="R412" s="135"/>
      <c r="S412" s="37"/>
    </row>
    <row r="413" spans="1:19" ht="30" x14ac:dyDescent="0.25">
      <c r="A413" s="103"/>
      <c r="B413" s="109" t="s">
        <v>242</v>
      </c>
      <c r="C413" s="110" t="s">
        <v>37</v>
      </c>
      <c r="D413" s="112">
        <v>1</v>
      </c>
      <c r="E413" s="183">
        <v>45000</v>
      </c>
      <c r="F413" s="184">
        <f>ROUND(D413*E413,)</f>
        <v>45000</v>
      </c>
      <c r="K413" s="58"/>
      <c r="L413" s="60"/>
      <c r="M413" s="127"/>
      <c r="N413" s="118"/>
      <c r="O413" s="127"/>
      <c r="P413" s="127"/>
      <c r="Q413" s="127"/>
      <c r="R413" s="127"/>
      <c r="S413" s="37"/>
    </row>
    <row r="414" spans="1:19" ht="15.75" thickBot="1" x14ac:dyDescent="0.3">
      <c r="A414" s="23"/>
      <c r="B414" s="24" t="s">
        <v>34</v>
      </c>
      <c r="C414" s="25" t="s">
        <v>35</v>
      </c>
      <c r="D414" s="26">
        <v>0.1</v>
      </c>
      <c r="E414" s="181">
        <f>+F410</f>
        <v>173534</v>
      </c>
      <c r="F414" s="189">
        <f>ROUND(D414*E414,)</f>
        <v>17353</v>
      </c>
      <c r="K414" s="58"/>
      <c r="L414" s="60"/>
      <c r="M414" s="128"/>
      <c r="N414" s="42"/>
      <c r="O414" s="128"/>
      <c r="P414" s="128"/>
      <c r="Q414" s="128"/>
      <c r="R414" s="128"/>
      <c r="S414" s="37"/>
    </row>
    <row r="415" spans="1:19" ht="15.75" thickBot="1" x14ac:dyDescent="0.3">
      <c r="A415" s="6"/>
      <c r="B415" s="36"/>
      <c r="C415" s="37"/>
      <c r="D415" s="38"/>
      <c r="E415" s="39" t="s">
        <v>22</v>
      </c>
      <c r="F415" s="187">
        <f>SUM(F413:F414)</f>
        <v>62353</v>
      </c>
      <c r="K415" s="38"/>
      <c r="L415" s="60"/>
      <c r="M415" s="136"/>
      <c r="N415" s="117"/>
      <c r="O415" s="137"/>
      <c r="P415" s="134"/>
      <c r="Q415" s="135"/>
      <c r="R415" s="135"/>
      <c r="S415" s="37"/>
    </row>
    <row r="416" spans="1:19" ht="15.75" thickBot="1" x14ac:dyDescent="0.3">
      <c r="A416" s="6"/>
      <c r="B416" s="36"/>
      <c r="C416" s="37"/>
      <c r="D416" s="38"/>
      <c r="E416" s="37"/>
      <c r="F416" s="7"/>
      <c r="K416" s="38"/>
      <c r="L416" s="60"/>
      <c r="M416" s="136"/>
      <c r="N416" s="117"/>
      <c r="O416" s="137"/>
      <c r="P416" s="134"/>
      <c r="Q416" s="135"/>
      <c r="R416" s="135"/>
      <c r="S416" s="37"/>
    </row>
    <row r="417" spans="1:19" ht="15.75" thickBot="1" x14ac:dyDescent="0.3">
      <c r="A417" s="1" t="s">
        <v>23</v>
      </c>
      <c r="B417" s="13"/>
      <c r="C417" s="14"/>
      <c r="D417" s="15"/>
      <c r="E417" s="14"/>
      <c r="F417" s="16"/>
      <c r="K417" s="54"/>
      <c r="L417" s="60"/>
      <c r="M417" s="127"/>
      <c r="N417" s="118"/>
      <c r="O417" s="127"/>
      <c r="P417" s="127"/>
      <c r="Q417" s="128"/>
      <c r="R417" s="135"/>
      <c r="S417" s="37"/>
    </row>
    <row r="418" spans="1:19" ht="44.25" customHeight="1" x14ac:dyDescent="0.25">
      <c r="A418" s="17"/>
      <c r="B418" s="18" t="s">
        <v>243</v>
      </c>
      <c r="C418" s="19" t="s">
        <v>62</v>
      </c>
      <c r="D418" s="20">
        <v>1.05</v>
      </c>
      <c r="E418" s="183">
        <v>678500</v>
      </c>
      <c r="F418" s="184">
        <f>ROUND(D418*E418,)</f>
        <v>712425</v>
      </c>
      <c r="K418" s="58"/>
      <c r="L418" s="60"/>
      <c r="M418" s="127"/>
      <c r="N418" s="118"/>
      <c r="O418" s="127"/>
      <c r="P418" s="127"/>
      <c r="Q418" s="127"/>
      <c r="R418" s="127"/>
      <c r="S418" s="37"/>
    </row>
    <row r="419" spans="1:19" ht="30.75" thickBot="1" x14ac:dyDescent="0.3">
      <c r="A419" s="227"/>
      <c r="B419" s="228" t="s">
        <v>244</v>
      </c>
      <c r="C419" s="229" t="s">
        <v>26</v>
      </c>
      <c r="D419" s="80">
        <v>5</v>
      </c>
      <c r="E419" s="192">
        <v>19900</v>
      </c>
      <c r="F419" s="189">
        <f>ROUND(D419*E419,)</f>
        <v>99500</v>
      </c>
      <c r="K419" s="58"/>
      <c r="L419" s="60"/>
      <c r="M419" s="128"/>
      <c r="N419" s="42"/>
      <c r="O419" s="128"/>
      <c r="P419" s="128"/>
      <c r="Q419" s="128"/>
      <c r="R419" s="128"/>
      <c r="S419" s="37"/>
    </row>
    <row r="420" spans="1:19" ht="15.75" thickBot="1" x14ac:dyDescent="0.3">
      <c r="A420" s="6"/>
      <c r="B420" s="36"/>
      <c r="C420" s="37"/>
      <c r="D420" s="38"/>
      <c r="E420" s="37"/>
      <c r="F420" s="7"/>
      <c r="K420" s="58"/>
      <c r="L420" s="60"/>
      <c r="M420" s="136"/>
      <c r="N420" s="117"/>
      <c r="O420" s="137"/>
      <c r="P420" s="134"/>
      <c r="Q420" s="135"/>
      <c r="R420" s="135"/>
      <c r="S420" s="37"/>
    </row>
    <row r="421" spans="1:19" ht="15.75" thickBot="1" x14ac:dyDescent="0.3">
      <c r="A421" s="69" t="s">
        <v>12</v>
      </c>
      <c r="B421" s="64" t="s">
        <v>25</v>
      </c>
      <c r="C421" s="65"/>
      <c r="D421" s="66"/>
      <c r="E421" s="67"/>
      <c r="F421" s="353">
        <f>+F419+F415+F410+F418</f>
        <v>1047812</v>
      </c>
      <c r="H421" s="126"/>
      <c r="K421" s="37"/>
      <c r="L421" s="60"/>
      <c r="M421" s="136"/>
      <c r="N421" s="117"/>
      <c r="O421" s="137"/>
      <c r="P421" s="134"/>
      <c r="Q421" s="135"/>
      <c r="R421" s="135"/>
      <c r="S421" s="37"/>
    </row>
    <row r="422" spans="1:19" ht="15.75" thickBot="1" x14ac:dyDescent="0.3">
      <c r="A422" s="37"/>
      <c r="B422" s="36"/>
      <c r="C422" s="37"/>
      <c r="D422" s="37"/>
      <c r="E422" s="39"/>
      <c r="F422" s="59"/>
      <c r="K422" s="37"/>
      <c r="L422" s="60"/>
      <c r="M422" s="127"/>
      <c r="N422" s="118"/>
      <c r="O422" s="127"/>
      <c r="P422" s="127"/>
      <c r="Q422" s="128"/>
      <c r="R422" s="135"/>
      <c r="S422" s="37"/>
    </row>
    <row r="423" spans="1:19" ht="31.5" customHeight="1" x14ac:dyDescent="0.25">
      <c r="A423" s="1" t="s">
        <v>47</v>
      </c>
      <c r="B423" s="355" t="s">
        <v>139</v>
      </c>
      <c r="C423" s="355"/>
      <c r="D423" s="355"/>
      <c r="E423" s="3"/>
      <c r="F423" s="5" t="s">
        <v>15</v>
      </c>
      <c r="K423" s="37"/>
      <c r="L423" s="60"/>
      <c r="M423" s="128"/>
      <c r="N423" s="118"/>
      <c r="O423" s="127"/>
      <c r="P423" s="127"/>
      <c r="Q423" s="127"/>
      <c r="R423" s="129"/>
      <c r="S423" s="37"/>
    </row>
    <row r="424" spans="1:19" ht="15.75" thickBot="1" x14ac:dyDescent="0.3">
      <c r="A424" s="70" t="s">
        <v>9</v>
      </c>
      <c r="B424" s="71">
        <v>2.5</v>
      </c>
      <c r="C424" s="10"/>
      <c r="D424" s="11"/>
      <c r="E424" s="10"/>
      <c r="F424" s="72" t="s">
        <v>0</v>
      </c>
      <c r="K424" s="37"/>
      <c r="L424" s="60"/>
      <c r="M424" s="127"/>
      <c r="N424" s="117"/>
      <c r="O424" s="127"/>
      <c r="P424" s="127"/>
      <c r="Q424" s="127"/>
      <c r="R424" s="130"/>
      <c r="S424" s="37"/>
    </row>
    <row r="425" spans="1:19" ht="15.75" thickBot="1" x14ac:dyDescent="0.3">
      <c r="A425" s="8"/>
      <c r="B425" s="9"/>
      <c r="C425" s="10"/>
      <c r="D425" s="11"/>
      <c r="E425" s="10"/>
      <c r="F425" s="12"/>
      <c r="K425" s="37"/>
      <c r="L425" s="60"/>
      <c r="M425" s="127"/>
      <c r="N425" s="118"/>
      <c r="O425" s="127"/>
      <c r="P425" s="127"/>
      <c r="Q425" s="127"/>
      <c r="R425" s="127"/>
      <c r="S425" s="37"/>
    </row>
    <row r="426" spans="1:19" ht="15.75" thickBot="1" x14ac:dyDescent="0.3">
      <c r="A426" s="33" t="s">
        <v>179</v>
      </c>
      <c r="B426" s="40" t="s">
        <v>47</v>
      </c>
      <c r="C426" s="34" t="s">
        <v>15</v>
      </c>
      <c r="D426" s="35" t="s">
        <v>16</v>
      </c>
      <c r="E426" s="34" t="s">
        <v>17</v>
      </c>
      <c r="F426" s="41" t="s">
        <v>18</v>
      </c>
      <c r="K426" s="37"/>
      <c r="L426" s="60"/>
      <c r="M426" s="128"/>
      <c r="N426" s="117"/>
      <c r="O426" s="127"/>
      <c r="P426" s="127"/>
      <c r="Q426" s="127"/>
      <c r="R426" s="127"/>
      <c r="S426" s="37"/>
    </row>
    <row r="427" spans="1:19" ht="15.75" thickBot="1" x14ac:dyDescent="0.3">
      <c r="A427" s="6"/>
      <c r="B427" s="36"/>
      <c r="C427" s="37"/>
      <c r="D427" s="38"/>
      <c r="E427" s="37"/>
      <c r="F427" s="7"/>
      <c r="K427" s="37"/>
      <c r="L427" s="60"/>
      <c r="M427" s="127"/>
      <c r="N427" s="118"/>
      <c r="O427" s="127"/>
      <c r="P427" s="127"/>
      <c r="Q427" s="127"/>
      <c r="R427" s="127"/>
      <c r="S427" s="37"/>
    </row>
    <row r="428" spans="1:19" ht="15.75" thickBot="1" x14ac:dyDescent="0.3">
      <c r="A428" s="1" t="s">
        <v>19</v>
      </c>
      <c r="B428" s="13"/>
      <c r="C428" s="14"/>
      <c r="D428" s="15"/>
      <c r="E428" s="14"/>
      <c r="F428" s="16"/>
      <c r="K428" s="37"/>
      <c r="L428" s="60"/>
      <c r="M428" s="130"/>
      <c r="N428" s="131"/>
      <c r="O428" s="130"/>
      <c r="P428" s="130"/>
      <c r="Q428" s="130"/>
      <c r="R428" s="130"/>
      <c r="S428" s="37"/>
    </row>
    <row r="429" spans="1:19" ht="30" x14ac:dyDescent="0.25">
      <c r="A429" s="241"/>
      <c r="B429" s="96" t="s">
        <v>30</v>
      </c>
      <c r="C429" s="97" t="s">
        <v>29</v>
      </c>
      <c r="D429" s="20">
        <v>0.6</v>
      </c>
      <c r="E429" s="183">
        <v>164667</v>
      </c>
      <c r="F429" s="184">
        <f>ROUND(D429*E429,)</f>
        <v>98800</v>
      </c>
      <c r="K429" s="58"/>
      <c r="L429" s="60"/>
      <c r="M429" s="127"/>
      <c r="N429" s="118"/>
      <c r="O429" s="127"/>
      <c r="P429" s="127"/>
      <c r="Q429" s="127"/>
      <c r="R429" s="127"/>
      <c r="S429" s="37"/>
    </row>
    <row r="430" spans="1:19" ht="15.75" thickBot="1" x14ac:dyDescent="0.3">
      <c r="A430" s="77"/>
      <c r="B430" s="78" t="s">
        <v>98</v>
      </c>
      <c r="C430" s="79" t="s">
        <v>29</v>
      </c>
      <c r="D430" s="80">
        <v>0.45</v>
      </c>
      <c r="E430" s="192">
        <v>133000</v>
      </c>
      <c r="F430" s="189">
        <f>ROUND(D430*E430,)</f>
        <v>59850</v>
      </c>
      <c r="K430" s="58"/>
      <c r="L430" s="60"/>
      <c r="M430" s="128"/>
      <c r="N430" s="42"/>
      <c r="O430" s="128"/>
      <c r="P430" s="128"/>
      <c r="Q430" s="128"/>
      <c r="R430" s="128"/>
      <c r="S430" s="37"/>
    </row>
    <row r="431" spans="1:19" ht="15.75" thickBot="1" x14ac:dyDescent="0.3">
      <c r="A431" s="6"/>
      <c r="B431" s="36"/>
      <c r="C431" s="37"/>
      <c r="D431" s="38"/>
      <c r="E431" s="39" t="s">
        <v>20</v>
      </c>
      <c r="F431" s="187">
        <f>+F429+F430</f>
        <v>158650</v>
      </c>
      <c r="K431" s="38"/>
      <c r="L431" s="60"/>
      <c r="M431" s="132"/>
      <c r="N431" s="133"/>
      <c r="O431" s="130"/>
      <c r="P431" s="134"/>
      <c r="Q431" s="135"/>
      <c r="R431" s="135"/>
      <c r="S431" s="37"/>
    </row>
    <row r="432" spans="1:19" ht="15.75" thickBot="1" x14ac:dyDescent="0.3">
      <c r="A432" s="6"/>
      <c r="B432" s="36"/>
      <c r="C432" s="37"/>
      <c r="D432" s="38"/>
      <c r="E432" s="37"/>
      <c r="F432" s="7"/>
      <c r="K432" s="37"/>
      <c r="L432" s="60"/>
      <c r="M432" s="136"/>
      <c r="N432" s="117"/>
      <c r="O432" s="137"/>
      <c r="P432" s="134"/>
      <c r="Q432" s="135"/>
      <c r="R432" s="135"/>
      <c r="S432" s="37"/>
    </row>
    <row r="433" spans="1:19" ht="15.75" thickBot="1" x14ac:dyDescent="0.3">
      <c r="A433" s="1" t="s">
        <v>21</v>
      </c>
      <c r="B433" s="13"/>
      <c r="C433" s="14"/>
      <c r="D433" s="15"/>
      <c r="E433" s="14"/>
      <c r="F433" s="16"/>
      <c r="K433" s="39"/>
      <c r="L433" s="60"/>
      <c r="M433" s="127"/>
      <c r="N433" s="118"/>
      <c r="O433" s="127"/>
      <c r="P433" s="127"/>
      <c r="Q433" s="128"/>
      <c r="R433" s="135"/>
      <c r="S433" s="37"/>
    </row>
    <row r="434" spans="1:19" x14ac:dyDescent="0.25">
      <c r="A434" s="103"/>
      <c r="B434" s="109"/>
      <c r="C434" s="110"/>
      <c r="D434" s="112"/>
      <c r="E434" s="183"/>
      <c r="F434" s="184">
        <f>ROUND(D434*E434,)</f>
        <v>0</v>
      </c>
      <c r="K434" s="58"/>
      <c r="L434" s="60"/>
      <c r="M434" s="127"/>
      <c r="N434" s="118"/>
      <c r="O434" s="127"/>
      <c r="P434" s="127"/>
      <c r="Q434" s="127"/>
      <c r="R434" s="127"/>
      <c r="S434" s="37"/>
    </row>
    <row r="435" spans="1:19" ht="15.75" thickBot="1" x14ac:dyDescent="0.3">
      <c r="A435" s="23"/>
      <c r="B435" s="24" t="s">
        <v>34</v>
      </c>
      <c r="C435" s="25" t="s">
        <v>35</v>
      </c>
      <c r="D435" s="26">
        <v>0.1</v>
      </c>
      <c r="E435" s="181">
        <f>+F431</f>
        <v>158650</v>
      </c>
      <c r="F435" s="189">
        <f>ROUND(D435*E435,)</f>
        <v>15865</v>
      </c>
      <c r="K435" s="58"/>
      <c r="L435" s="60"/>
      <c r="M435" s="128"/>
      <c r="N435" s="42"/>
      <c r="O435" s="128"/>
      <c r="P435" s="128"/>
      <c r="Q435" s="128"/>
      <c r="R435" s="128"/>
      <c r="S435" s="37"/>
    </row>
    <row r="436" spans="1:19" ht="15.75" thickBot="1" x14ac:dyDescent="0.3">
      <c r="A436" s="6"/>
      <c r="B436" s="36"/>
      <c r="C436" s="37"/>
      <c r="D436" s="38"/>
      <c r="E436" s="39" t="s">
        <v>22</v>
      </c>
      <c r="F436" s="187">
        <f>SUM(F434:F435)</f>
        <v>15865</v>
      </c>
      <c r="K436" s="38"/>
      <c r="L436" s="60"/>
      <c r="M436" s="136"/>
      <c r="N436" s="117"/>
      <c r="O436" s="137"/>
      <c r="P436" s="134"/>
      <c r="Q436" s="135"/>
      <c r="R436" s="135"/>
      <c r="S436" s="37"/>
    </row>
    <row r="437" spans="1:19" ht="15.75" thickBot="1" x14ac:dyDescent="0.3">
      <c r="A437" s="6"/>
      <c r="B437" s="36"/>
      <c r="C437" s="37"/>
      <c r="D437" s="38"/>
      <c r="E437" s="37"/>
      <c r="F437" s="7"/>
      <c r="K437" s="38"/>
      <c r="L437" s="60"/>
      <c r="M437" s="136"/>
      <c r="N437" s="117"/>
      <c r="O437" s="137"/>
      <c r="P437" s="134"/>
      <c r="Q437" s="135"/>
      <c r="R437" s="135"/>
      <c r="S437" s="37"/>
    </row>
    <row r="438" spans="1:19" ht="15.75" thickBot="1" x14ac:dyDescent="0.3">
      <c r="A438" s="1" t="s">
        <v>23</v>
      </c>
      <c r="B438" s="13"/>
      <c r="C438" s="14"/>
      <c r="D438" s="15"/>
      <c r="E438" s="14"/>
      <c r="F438" s="16"/>
      <c r="K438" s="54"/>
      <c r="L438" s="60"/>
      <c r="M438" s="127"/>
      <c r="N438" s="118"/>
      <c r="O438" s="127"/>
      <c r="P438" s="127"/>
      <c r="Q438" s="128"/>
      <c r="R438" s="135"/>
      <c r="S438" s="37"/>
    </row>
    <row r="439" spans="1:19" ht="44.25" customHeight="1" x14ac:dyDescent="0.25">
      <c r="A439" s="17"/>
      <c r="B439" s="18" t="s">
        <v>243</v>
      </c>
      <c r="C439" s="19" t="s">
        <v>62</v>
      </c>
      <c r="D439" s="20">
        <v>0.26400000000000001</v>
      </c>
      <c r="E439" s="183">
        <v>678500</v>
      </c>
      <c r="F439" s="184">
        <f>ROUND(D439*E439,)</f>
        <v>179124</v>
      </c>
      <c r="K439" s="58"/>
      <c r="L439" s="60"/>
      <c r="M439" s="127"/>
      <c r="N439" s="118"/>
      <c r="O439" s="127"/>
      <c r="P439" s="127"/>
      <c r="Q439" s="127"/>
      <c r="R439" s="127"/>
      <c r="S439" s="37"/>
    </row>
    <row r="440" spans="1:19" ht="15.75" thickBot="1" x14ac:dyDescent="0.3">
      <c r="A440" s="227"/>
      <c r="B440" s="228" t="s">
        <v>245</v>
      </c>
      <c r="C440" s="229" t="s">
        <v>0</v>
      </c>
      <c r="D440" s="80">
        <v>1</v>
      </c>
      <c r="E440" s="192">
        <v>535000</v>
      </c>
      <c r="F440" s="189">
        <f>ROUND(D440*E440,)</f>
        <v>535000</v>
      </c>
      <c r="K440" s="58"/>
      <c r="L440" s="60"/>
      <c r="M440" s="128"/>
      <c r="N440" s="42"/>
      <c r="O440" s="128"/>
      <c r="P440" s="128"/>
      <c r="Q440" s="128"/>
      <c r="R440" s="128"/>
      <c r="S440" s="37"/>
    </row>
    <row r="441" spans="1:19" ht="15.75" thickBot="1" x14ac:dyDescent="0.3">
      <c r="A441" s="6"/>
      <c r="B441" s="36"/>
      <c r="C441" s="37"/>
      <c r="D441" s="38"/>
      <c r="E441" s="37"/>
      <c r="F441" s="7"/>
      <c r="K441" s="58"/>
      <c r="L441" s="60"/>
      <c r="M441" s="136"/>
      <c r="N441" s="117"/>
      <c r="O441" s="137"/>
      <c r="P441" s="134"/>
      <c r="Q441" s="135"/>
      <c r="R441" s="135"/>
      <c r="S441" s="37"/>
    </row>
    <row r="442" spans="1:19" ht="15.75" thickBot="1" x14ac:dyDescent="0.3">
      <c r="A442" s="69" t="s">
        <v>12</v>
      </c>
      <c r="B442" s="64" t="s">
        <v>25</v>
      </c>
      <c r="C442" s="65"/>
      <c r="D442" s="66"/>
      <c r="E442" s="67"/>
      <c r="F442" s="353">
        <f>+F440+F436+F431+F439</f>
        <v>888639</v>
      </c>
      <c r="H442" s="126"/>
      <c r="K442" s="37"/>
      <c r="L442" s="60"/>
      <c r="M442" s="136"/>
      <c r="N442" s="117"/>
      <c r="O442" s="137"/>
      <c r="P442" s="134"/>
      <c r="Q442" s="135"/>
      <c r="R442" s="135"/>
      <c r="S442" s="37"/>
    </row>
    <row r="443" spans="1:19" ht="15.75" thickBot="1" x14ac:dyDescent="0.3">
      <c r="A443" s="37"/>
      <c r="B443" s="36"/>
      <c r="C443" s="37"/>
      <c r="D443" s="37"/>
      <c r="E443" s="39"/>
      <c r="F443" s="59"/>
      <c r="K443" s="37"/>
      <c r="L443" s="60"/>
      <c r="M443" s="127"/>
      <c r="N443" s="118"/>
      <c r="O443" s="127"/>
      <c r="P443" s="127"/>
      <c r="Q443" s="128"/>
      <c r="R443" s="135"/>
      <c r="S443" s="37"/>
    </row>
    <row r="444" spans="1:19" ht="31.5" customHeight="1" x14ac:dyDescent="0.25">
      <c r="A444" s="1" t="s">
        <v>47</v>
      </c>
      <c r="B444" s="355" t="s">
        <v>140</v>
      </c>
      <c r="C444" s="355"/>
      <c r="D444" s="355"/>
      <c r="E444" s="3"/>
      <c r="F444" s="5" t="s">
        <v>15</v>
      </c>
      <c r="K444" s="37"/>
      <c r="L444" s="60"/>
      <c r="M444" s="128"/>
      <c r="N444" s="118"/>
      <c r="O444" s="127"/>
      <c r="P444" s="127"/>
      <c r="Q444" s="127"/>
      <c r="R444" s="129"/>
      <c r="S444" s="37"/>
    </row>
    <row r="445" spans="1:19" ht="15.75" thickBot="1" x14ac:dyDescent="0.3">
      <c r="A445" s="70" t="s">
        <v>9</v>
      </c>
      <c r="B445" s="71">
        <v>2.5</v>
      </c>
      <c r="C445" s="10"/>
      <c r="D445" s="11"/>
      <c r="E445" s="10"/>
      <c r="F445" s="72" t="s">
        <v>33</v>
      </c>
      <c r="K445" s="37"/>
      <c r="L445" s="60"/>
      <c r="M445" s="127"/>
      <c r="N445" s="117"/>
      <c r="O445" s="127"/>
      <c r="P445" s="127"/>
      <c r="Q445" s="127"/>
      <c r="R445" s="130"/>
      <c r="S445" s="37"/>
    </row>
    <row r="446" spans="1:19" ht="15.75" thickBot="1" x14ac:dyDescent="0.3">
      <c r="A446" s="8"/>
      <c r="B446" s="9"/>
      <c r="C446" s="10"/>
      <c r="D446" s="11"/>
      <c r="E446" s="10"/>
      <c r="F446" s="12"/>
      <c r="K446" s="37"/>
      <c r="L446" s="60"/>
      <c r="M446" s="127"/>
      <c r="N446" s="118"/>
      <c r="O446" s="127"/>
      <c r="P446" s="127"/>
      <c r="Q446" s="127"/>
      <c r="R446" s="127"/>
      <c r="S446" s="37"/>
    </row>
    <row r="447" spans="1:19" ht="15.75" thickBot="1" x14ac:dyDescent="0.3">
      <c r="A447" s="33" t="s">
        <v>179</v>
      </c>
      <c r="B447" s="40" t="s">
        <v>47</v>
      </c>
      <c r="C447" s="34" t="s">
        <v>15</v>
      </c>
      <c r="D447" s="35" t="s">
        <v>16</v>
      </c>
      <c r="E447" s="34" t="s">
        <v>17</v>
      </c>
      <c r="F447" s="41" t="s">
        <v>18</v>
      </c>
      <c r="K447" s="37"/>
      <c r="L447" s="60"/>
      <c r="M447" s="128"/>
      <c r="N447" s="117"/>
      <c r="O447" s="127"/>
      <c r="P447" s="127"/>
      <c r="Q447" s="127"/>
      <c r="R447" s="127"/>
      <c r="S447" s="37"/>
    </row>
    <row r="448" spans="1:19" ht="15.75" thickBot="1" x14ac:dyDescent="0.3">
      <c r="A448" s="6"/>
      <c r="B448" s="36"/>
      <c r="C448" s="37"/>
      <c r="D448" s="38"/>
      <c r="E448" s="37"/>
      <c r="F448" s="7"/>
      <c r="K448" s="37"/>
      <c r="L448" s="60"/>
      <c r="M448" s="127"/>
      <c r="N448" s="118"/>
      <c r="O448" s="127"/>
      <c r="P448" s="127"/>
      <c r="Q448" s="127"/>
      <c r="R448" s="127"/>
      <c r="S448" s="37"/>
    </row>
    <row r="449" spans="1:19" ht="15.75" thickBot="1" x14ac:dyDescent="0.3">
      <c r="A449" s="1" t="s">
        <v>19</v>
      </c>
      <c r="B449" s="13"/>
      <c r="C449" s="14"/>
      <c r="D449" s="15"/>
      <c r="E449" s="14"/>
      <c r="F449" s="16"/>
      <c r="K449" s="37"/>
      <c r="L449" s="60"/>
      <c r="M449" s="130"/>
      <c r="N449" s="131"/>
      <c r="O449" s="130"/>
      <c r="P449" s="130"/>
      <c r="Q449" s="130"/>
      <c r="R449" s="130"/>
      <c r="S449" s="37"/>
    </row>
    <row r="450" spans="1:19" ht="30" x14ac:dyDescent="0.25">
      <c r="A450" s="241"/>
      <c r="B450" s="96" t="s">
        <v>30</v>
      </c>
      <c r="C450" s="97" t="s">
        <v>29</v>
      </c>
      <c r="D450" s="20">
        <v>3.5000000000000003E-2</v>
      </c>
      <c r="E450" s="183">
        <v>164667</v>
      </c>
      <c r="F450" s="184">
        <f>ROUND(D450*E450,)</f>
        <v>5763</v>
      </c>
      <c r="K450" s="58"/>
      <c r="L450" s="60"/>
      <c r="M450" s="127"/>
      <c r="N450" s="118"/>
      <c r="O450" s="127"/>
      <c r="P450" s="127"/>
      <c r="Q450" s="127"/>
      <c r="R450" s="127"/>
      <c r="S450" s="37"/>
    </row>
    <row r="451" spans="1:19" ht="15.75" thickBot="1" x14ac:dyDescent="0.3">
      <c r="A451" s="77"/>
      <c r="B451" s="78" t="s">
        <v>98</v>
      </c>
      <c r="C451" s="79" t="s">
        <v>29</v>
      </c>
      <c r="D451" s="80">
        <v>6.0000000000000001E-3</v>
      </c>
      <c r="E451" s="192">
        <v>133000</v>
      </c>
      <c r="F451" s="189">
        <f>ROUND(D451*E451,)</f>
        <v>798</v>
      </c>
      <c r="K451" s="58"/>
      <c r="L451" s="60"/>
      <c r="M451" s="128"/>
      <c r="N451" s="42"/>
      <c r="O451" s="128"/>
      <c r="P451" s="128"/>
      <c r="Q451" s="128"/>
      <c r="R451" s="128"/>
      <c r="S451" s="37"/>
    </row>
    <row r="452" spans="1:19" ht="15.75" thickBot="1" x14ac:dyDescent="0.3">
      <c r="A452" s="6"/>
      <c r="B452" s="36"/>
      <c r="C452" s="37"/>
      <c r="D452" s="38"/>
      <c r="E452" s="39" t="s">
        <v>20</v>
      </c>
      <c r="F452" s="187">
        <f>+F450+F451</f>
        <v>6561</v>
      </c>
      <c r="K452" s="38"/>
      <c r="L452" s="60"/>
      <c r="M452" s="132"/>
      <c r="N452" s="133"/>
      <c r="O452" s="130"/>
      <c r="P452" s="134"/>
      <c r="Q452" s="135"/>
      <c r="R452" s="135"/>
      <c r="S452" s="37"/>
    </row>
    <row r="453" spans="1:19" ht="15.75" thickBot="1" x14ac:dyDescent="0.3">
      <c r="A453" s="6"/>
      <c r="B453" s="36"/>
      <c r="C453" s="37"/>
      <c r="D453" s="38"/>
      <c r="E453" s="37"/>
      <c r="F453" s="7"/>
      <c r="K453" s="37"/>
      <c r="L453" s="60"/>
      <c r="M453" s="136"/>
      <c r="N453" s="117"/>
      <c r="O453" s="137"/>
      <c r="P453" s="134"/>
      <c r="Q453" s="135"/>
      <c r="R453" s="135"/>
      <c r="S453" s="37"/>
    </row>
    <row r="454" spans="1:19" ht="15.75" thickBot="1" x14ac:dyDescent="0.3">
      <c r="A454" s="1" t="s">
        <v>21</v>
      </c>
      <c r="B454" s="13"/>
      <c r="C454" s="14"/>
      <c r="D454" s="15"/>
      <c r="E454" s="14"/>
      <c r="F454" s="16"/>
      <c r="K454" s="39"/>
      <c r="L454" s="60"/>
      <c r="M454" s="127"/>
      <c r="N454" s="118"/>
      <c r="O454" s="127"/>
      <c r="P454" s="127"/>
      <c r="Q454" s="128"/>
      <c r="R454" s="135"/>
      <c r="S454" s="37"/>
    </row>
    <row r="455" spans="1:19" x14ac:dyDescent="0.25">
      <c r="A455" s="103"/>
      <c r="B455" s="109"/>
      <c r="C455" s="110"/>
      <c r="D455" s="112"/>
      <c r="E455" s="183"/>
      <c r="F455" s="184">
        <f>ROUND(D455*E455,)</f>
        <v>0</v>
      </c>
      <c r="K455" s="58"/>
      <c r="L455" s="60"/>
      <c r="M455" s="127"/>
      <c r="N455" s="118"/>
      <c r="O455" s="127"/>
      <c r="P455" s="127"/>
      <c r="Q455" s="127"/>
      <c r="R455" s="127"/>
      <c r="S455" s="37"/>
    </row>
    <row r="456" spans="1:19" ht="15.75" thickBot="1" x14ac:dyDescent="0.3">
      <c r="A456" s="23"/>
      <c r="B456" s="24" t="s">
        <v>34</v>
      </c>
      <c r="C456" s="25" t="s">
        <v>35</v>
      </c>
      <c r="D456" s="26">
        <v>0.1</v>
      </c>
      <c r="E456" s="181">
        <f>+F452</f>
        <v>6561</v>
      </c>
      <c r="F456" s="189">
        <f>ROUND(D456*E456,)</f>
        <v>656</v>
      </c>
      <c r="K456" s="58"/>
      <c r="L456" s="60"/>
      <c r="M456" s="128"/>
      <c r="N456" s="42"/>
      <c r="O456" s="128"/>
      <c r="P456" s="128"/>
      <c r="Q456" s="128"/>
      <c r="R456" s="128"/>
      <c r="S456" s="37"/>
    </row>
    <row r="457" spans="1:19" ht="15.75" thickBot="1" x14ac:dyDescent="0.3">
      <c r="A457" s="6"/>
      <c r="B457" s="36"/>
      <c r="C457" s="37"/>
      <c r="D457" s="38"/>
      <c r="E457" s="39" t="s">
        <v>22</v>
      </c>
      <c r="F457" s="187">
        <f>SUM(F455:F456)</f>
        <v>656</v>
      </c>
      <c r="K457" s="38"/>
      <c r="L457" s="60"/>
      <c r="M457" s="136"/>
      <c r="N457" s="117"/>
      <c r="O457" s="137"/>
      <c r="P457" s="134"/>
      <c r="Q457" s="135"/>
      <c r="R457" s="135"/>
      <c r="S457" s="37"/>
    </row>
    <row r="458" spans="1:19" ht="15.75" thickBot="1" x14ac:dyDescent="0.3">
      <c r="A458" s="6"/>
      <c r="B458" s="36"/>
      <c r="C458" s="37"/>
      <c r="D458" s="38"/>
      <c r="E458" s="37"/>
      <c r="F458" s="7"/>
      <c r="K458" s="38"/>
      <c r="L458" s="60"/>
      <c r="M458" s="136"/>
      <c r="N458" s="117"/>
      <c r="O458" s="137"/>
      <c r="P458" s="134"/>
      <c r="Q458" s="135"/>
      <c r="R458" s="135"/>
      <c r="S458" s="37"/>
    </row>
    <row r="459" spans="1:19" ht="15.75" thickBot="1" x14ac:dyDescent="0.3">
      <c r="A459" s="1" t="s">
        <v>23</v>
      </c>
      <c r="B459" s="13"/>
      <c r="C459" s="14"/>
      <c r="D459" s="15"/>
      <c r="E459" s="14"/>
      <c r="F459" s="16"/>
      <c r="K459" s="54"/>
      <c r="L459" s="60"/>
      <c r="M459" s="127"/>
      <c r="N459" s="118"/>
      <c r="O459" s="127"/>
      <c r="P459" s="127"/>
      <c r="Q459" s="128"/>
      <c r="R459" s="135"/>
      <c r="S459" s="37"/>
    </row>
    <row r="460" spans="1:19" ht="44.25" customHeight="1" x14ac:dyDescent="0.25">
      <c r="A460" s="103"/>
      <c r="B460" s="96" t="s">
        <v>246</v>
      </c>
      <c r="C460" s="97" t="s">
        <v>33</v>
      </c>
      <c r="D460" s="20">
        <v>1</v>
      </c>
      <c r="E460" s="183">
        <v>44150</v>
      </c>
      <c r="F460" s="184">
        <f>ROUND(D460*E460,)</f>
        <v>44150</v>
      </c>
      <c r="K460" s="58"/>
      <c r="L460" s="60"/>
      <c r="M460" s="127"/>
      <c r="N460" s="118"/>
      <c r="O460" s="127"/>
      <c r="P460" s="127"/>
      <c r="Q460" s="127"/>
      <c r="R460" s="127"/>
      <c r="S460" s="37"/>
    </row>
    <row r="461" spans="1:19" ht="44.25" customHeight="1" x14ac:dyDescent="0.25">
      <c r="A461" s="92"/>
      <c r="B461" s="87" t="s">
        <v>247</v>
      </c>
      <c r="C461" s="88" t="s">
        <v>0</v>
      </c>
      <c r="D461" s="89">
        <v>0.2</v>
      </c>
      <c r="E461" s="182">
        <v>50900</v>
      </c>
      <c r="F461" s="188">
        <f>ROUND(D461*E461,)</f>
        <v>10180</v>
      </c>
      <c r="K461" s="58"/>
      <c r="L461" s="60"/>
      <c r="M461" s="127"/>
      <c r="N461" s="118"/>
      <c r="O461" s="127"/>
      <c r="P461" s="127"/>
      <c r="Q461" s="127"/>
      <c r="R461" s="127"/>
      <c r="S461" s="37"/>
    </row>
    <row r="462" spans="1:19" ht="15.75" thickBot="1" x14ac:dyDescent="0.3">
      <c r="A462" s="227"/>
      <c r="B462" s="228" t="s">
        <v>248</v>
      </c>
      <c r="C462" s="229" t="s">
        <v>0</v>
      </c>
      <c r="D462" s="80">
        <v>0.2</v>
      </c>
      <c r="E462" s="192">
        <v>46900</v>
      </c>
      <c r="F462" s="189">
        <f>ROUND(D462*E462,)</f>
        <v>9380</v>
      </c>
      <c r="K462" s="58"/>
      <c r="L462" s="60"/>
      <c r="M462" s="128"/>
      <c r="N462" s="42"/>
      <c r="O462" s="128"/>
      <c r="P462" s="128"/>
      <c r="Q462" s="128"/>
      <c r="R462" s="128"/>
      <c r="S462" s="37"/>
    </row>
    <row r="463" spans="1:19" ht="15.75" thickBot="1" x14ac:dyDescent="0.3">
      <c r="A463" s="6"/>
      <c r="B463" s="36"/>
      <c r="C463" s="37"/>
      <c r="D463" s="38"/>
      <c r="E463" s="37"/>
      <c r="F463" s="7"/>
      <c r="K463" s="58"/>
      <c r="L463" s="60"/>
      <c r="M463" s="136"/>
      <c r="N463" s="117"/>
      <c r="O463" s="137"/>
      <c r="P463" s="134"/>
      <c r="Q463" s="135"/>
      <c r="R463" s="135"/>
      <c r="S463" s="37"/>
    </row>
    <row r="464" spans="1:19" ht="15.75" thickBot="1" x14ac:dyDescent="0.3">
      <c r="A464" s="69" t="s">
        <v>12</v>
      </c>
      <c r="B464" s="64" t="s">
        <v>25</v>
      </c>
      <c r="C464" s="65"/>
      <c r="D464" s="66"/>
      <c r="E464" s="67"/>
      <c r="F464" s="353">
        <f>+F462+F457+F452+F460+F461</f>
        <v>70927</v>
      </c>
      <c r="H464" s="126"/>
      <c r="K464" s="37"/>
      <c r="L464" s="60"/>
      <c r="M464" s="136"/>
      <c r="N464" s="117"/>
      <c r="O464" s="137"/>
      <c r="P464" s="134"/>
      <c r="Q464" s="135"/>
      <c r="R464" s="135"/>
      <c r="S464" s="37"/>
    </row>
    <row r="465" spans="1:19" ht="15.75" thickBot="1" x14ac:dyDescent="0.3">
      <c r="A465" s="37"/>
      <c r="B465" s="36"/>
      <c r="C465" s="37"/>
      <c r="D465" s="37"/>
      <c r="E465" s="39"/>
      <c r="F465" s="59"/>
      <c r="K465" s="37"/>
      <c r="L465" s="60"/>
      <c r="M465" s="127"/>
      <c r="N465" s="118"/>
      <c r="O465" s="127"/>
      <c r="P465" s="127"/>
      <c r="Q465" s="128"/>
      <c r="R465" s="135"/>
      <c r="S465" s="37"/>
    </row>
    <row r="466" spans="1:19" ht="31.5" customHeight="1" x14ac:dyDescent="0.25">
      <c r="A466" s="1" t="s">
        <v>47</v>
      </c>
      <c r="B466" s="355" t="s">
        <v>237</v>
      </c>
      <c r="C466" s="355"/>
      <c r="D466" s="355"/>
      <c r="E466" s="3"/>
      <c r="F466" s="5" t="s">
        <v>15</v>
      </c>
      <c r="K466" s="37"/>
      <c r="L466" s="60"/>
      <c r="M466" s="128"/>
      <c r="N466" s="118"/>
      <c r="O466" s="127"/>
      <c r="P466" s="127"/>
      <c r="Q466" s="127"/>
      <c r="R466" s="129"/>
      <c r="S466" s="37"/>
    </row>
    <row r="467" spans="1:19" ht="15.75" thickBot="1" x14ac:dyDescent="0.3">
      <c r="A467" s="70" t="s">
        <v>9</v>
      </c>
      <c r="B467" s="71">
        <v>2.5</v>
      </c>
      <c r="C467" s="10"/>
      <c r="D467" s="11"/>
      <c r="E467" s="10"/>
      <c r="F467" s="72" t="s">
        <v>33</v>
      </c>
      <c r="K467" s="37"/>
      <c r="L467" s="60"/>
      <c r="M467" s="127"/>
      <c r="N467" s="117"/>
      <c r="O467" s="127"/>
      <c r="P467" s="127"/>
      <c r="Q467" s="127"/>
      <c r="R467" s="130"/>
      <c r="S467" s="37"/>
    </row>
    <row r="468" spans="1:19" ht="15.75" thickBot="1" x14ac:dyDescent="0.3">
      <c r="A468" s="8"/>
      <c r="B468" s="9"/>
      <c r="C468" s="10"/>
      <c r="D468" s="11"/>
      <c r="E468" s="10"/>
      <c r="F468" s="12"/>
      <c r="K468" s="37"/>
      <c r="L468" s="60"/>
      <c r="M468" s="127"/>
      <c r="N468" s="118"/>
      <c r="O468" s="127"/>
      <c r="P468" s="127"/>
      <c r="Q468" s="127"/>
      <c r="R468" s="127"/>
      <c r="S468" s="37"/>
    </row>
    <row r="469" spans="1:19" ht="15.75" thickBot="1" x14ac:dyDescent="0.3">
      <c r="A469" s="33" t="s">
        <v>179</v>
      </c>
      <c r="B469" s="40" t="s">
        <v>47</v>
      </c>
      <c r="C469" s="34" t="s">
        <v>15</v>
      </c>
      <c r="D469" s="35" t="s">
        <v>16</v>
      </c>
      <c r="E469" s="34" t="s">
        <v>17</v>
      </c>
      <c r="F469" s="41" t="s">
        <v>18</v>
      </c>
      <c r="K469" s="37"/>
      <c r="L469" s="60"/>
      <c r="M469" s="128"/>
      <c r="N469" s="117"/>
      <c r="O469" s="127"/>
      <c r="P469" s="127"/>
      <c r="Q469" s="127"/>
      <c r="R469" s="127"/>
      <c r="S469" s="37"/>
    </row>
    <row r="470" spans="1:19" ht="15.75" thickBot="1" x14ac:dyDescent="0.3">
      <c r="A470" s="6"/>
      <c r="B470" s="36"/>
      <c r="C470" s="37"/>
      <c r="D470" s="38"/>
      <c r="E470" s="37"/>
      <c r="F470" s="7"/>
      <c r="K470" s="37"/>
      <c r="L470" s="60"/>
      <c r="M470" s="127"/>
      <c r="N470" s="118"/>
      <c r="O470" s="127"/>
      <c r="P470" s="127"/>
      <c r="Q470" s="127"/>
      <c r="R470" s="127"/>
      <c r="S470" s="37"/>
    </row>
    <row r="471" spans="1:19" ht="15.75" thickBot="1" x14ac:dyDescent="0.3">
      <c r="A471" s="1" t="s">
        <v>19</v>
      </c>
      <c r="B471" s="13"/>
      <c r="C471" s="14"/>
      <c r="D471" s="15"/>
      <c r="E471" s="14"/>
      <c r="F471" s="16"/>
      <c r="K471" s="37"/>
      <c r="L471" s="60"/>
      <c r="M471" s="130"/>
      <c r="N471" s="131"/>
      <c r="O471" s="130"/>
      <c r="P471" s="130"/>
      <c r="Q471" s="130"/>
      <c r="R471" s="130"/>
      <c r="S471" s="37"/>
    </row>
    <row r="472" spans="1:19" ht="30" x14ac:dyDescent="0.25">
      <c r="A472" s="241"/>
      <c r="B472" s="96" t="s">
        <v>30</v>
      </c>
      <c r="C472" s="97" t="s">
        <v>29</v>
      </c>
      <c r="D472" s="20">
        <v>0.02</v>
      </c>
      <c r="E472" s="183">
        <v>164667</v>
      </c>
      <c r="F472" s="184">
        <f>ROUND(D472*E472,)</f>
        <v>3293</v>
      </c>
      <c r="K472" s="58"/>
      <c r="L472" s="60"/>
      <c r="M472" s="127"/>
      <c r="N472" s="118"/>
      <c r="O472" s="127"/>
      <c r="P472" s="127"/>
      <c r="Q472" s="127"/>
      <c r="R472" s="127"/>
      <c r="S472" s="37"/>
    </row>
    <row r="473" spans="1:19" ht="15.75" thickBot="1" x14ac:dyDescent="0.3">
      <c r="A473" s="77"/>
      <c r="B473" s="78" t="s">
        <v>98</v>
      </c>
      <c r="C473" s="79" t="s">
        <v>29</v>
      </c>
      <c r="D473" s="80">
        <v>4.0000000000000001E-3</v>
      </c>
      <c r="E473" s="192">
        <v>133000</v>
      </c>
      <c r="F473" s="189">
        <f>ROUND(D473*E473,)</f>
        <v>532</v>
      </c>
      <c r="K473" s="58"/>
      <c r="L473" s="60"/>
      <c r="M473" s="128"/>
      <c r="N473" s="42"/>
      <c r="O473" s="128"/>
      <c r="P473" s="128"/>
      <c r="Q473" s="128"/>
      <c r="R473" s="128"/>
      <c r="S473" s="37"/>
    </row>
    <row r="474" spans="1:19" ht="15.75" thickBot="1" x14ac:dyDescent="0.3">
      <c r="A474" s="6"/>
      <c r="B474" s="36"/>
      <c r="C474" s="37"/>
      <c r="D474" s="38"/>
      <c r="E474" s="39" t="s">
        <v>20</v>
      </c>
      <c r="F474" s="187">
        <f>+F472+F473</f>
        <v>3825</v>
      </c>
      <c r="K474" s="38"/>
      <c r="L474" s="60"/>
      <c r="M474" s="132"/>
      <c r="N474" s="133"/>
      <c r="O474" s="130"/>
      <c r="P474" s="134"/>
      <c r="Q474" s="135"/>
      <c r="R474" s="135"/>
      <c r="S474" s="37"/>
    </row>
    <row r="475" spans="1:19" ht="15.75" thickBot="1" x14ac:dyDescent="0.3">
      <c r="A475" s="6"/>
      <c r="B475" s="36"/>
      <c r="C475" s="37"/>
      <c r="D475" s="38"/>
      <c r="E475" s="37"/>
      <c r="F475" s="7"/>
      <c r="K475" s="37"/>
      <c r="L475" s="60"/>
      <c r="M475" s="136"/>
      <c r="N475" s="117"/>
      <c r="O475" s="137"/>
      <c r="P475" s="134"/>
      <c r="Q475" s="135"/>
      <c r="R475" s="135"/>
      <c r="S475" s="37"/>
    </row>
    <row r="476" spans="1:19" ht="15.75" thickBot="1" x14ac:dyDescent="0.3">
      <c r="A476" s="1" t="s">
        <v>21</v>
      </c>
      <c r="B476" s="13"/>
      <c r="C476" s="14"/>
      <c r="D476" s="15"/>
      <c r="E476" s="14"/>
      <c r="F476" s="16"/>
      <c r="K476" s="39"/>
      <c r="L476" s="60"/>
      <c r="M476" s="127"/>
      <c r="N476" s="118"/>
      <c r="O476" s="127"/>
      <c r="P476" s="127"/>
      <c r="Q476" s="128"/>
      <c r="R476" s="135"/>
      <c r="S476" s="37"/>
    </row>
    <row r="477" spans="1:19" x14ac:dyDescent="0.25">
      <c r="A477" s="103"/>
      <c r="B477" s="109"/>
      <c r="C477" s="110"/>
      <c r="D477" s="112"/>
      <c r="E477" s="183"/>
      <c r="F477" s="184">
        <f>ROUND(D477*E477,)</f>
        <v>0</v>
      </c>
      <c r="K477" s="58"/>
      <c r="L477" s="60"/>
      <c r="M477" s="127"/>
      <c r="N477" s="118"/>
      <c r="O477" s="127"/>
      <c r="P477" s="127"/>
      <c r="Q477" s="127"/>
      <c r="R477" s="127"/>
      <c r="S477" s="37"/>
    </row>
    <row r="478" spans="1:19" ht="30" x14ac:dyDescent="0.25">
      <c r="A478" s="108"/>
      <c r="B478" s="236" t="s">
        <v>209</v>
      </c>
      <c r="C478" s="237" t="s">
        <v>37</v>
      </c>
      <c r="D478" s="123">
        <v>0.8</v>
      </c>
      <c r="E478" s="182">
        <v>1200</v>
      </c>
      <c r="F478" s="185">
        <f t="shared" ref="F478:F480" si="34">ROUND(D478*E478,)</f>
        <v>960</v>
      </c>
      <c r="K478" s="37"/>
      <c r="L478" s="60"/>
      <c r="M478" s="39"/>
      <c r="N478" s="348"/>
      <c r="O478" s="57"/>
      <c r="P478" s="75"/>
      <c r="Q478" s="59"/>
      <c r="R478" s="59"/>
      <c r="S478" s="37"/>
    </row>
    <row r="479" spans="1:19" ht="16.5" customHeight="1" x14ac:dyDescent="0.25">
      <c r="A479" s="108"/>
      <c r="B479" s="85" t="s">
        <v>211</v>
      </c>
      <c r="C479" s="86" t="s">
        <v>40</v>
      </c>
      <c r="D479" s="83">
        <v>0.8</v>
      </c>
      <c r="E479" s="180">
        <v>1200</v>
      </c>
      <c r="F479" s="185">
        <f t="shared" si="34"/>
        <v>960</v>
      </c>
      <c r="K479" s="37"/>
      <c r="L479" s="60"/>
      <c r="M479" s="39"/>
      <c r="N479" s="50"/>
      <c r="O479" s="61"/>
      <c r="P479" s="75"/>
      <c r="Q479" s="59"/>
      <c r="R479" s="59"/>
      <c r="S479" s="37"/>
    </row>
    <row r="480" spans="1:19" x14ac:dyDescent="0.25">
      <c r="A480" s="260"/>
      <c r="B480" s="85" t="s">
        <v>36</v>
      </c>
      <c r="C480" s="86" t="s">
        <v>37</v>
      </c>
      <c r="D480" s="83">
        <v>0.8</v>
      </c>
      <c r="E480" s="180">
        <v>120</v>
      </c>
      <c r="F480" s="185">
        <f t="shared" si="34"/>
        <v>96</v>
      </c>
      <c r="K480" s="37"/>
      <c r="L480" s="60"/>
      <c r="M480" s="39"/>
      <c r="N480" s="50"/>
      <c r="O480" s="61"/>
      <c r="P480" s="75"/>
      <c r="Q480" s="59"/>
      <c r="R480" s="59"/>
      <c r="S480" s="37"/>
    </row>
    <row r="481" spans="1:19" ht="15.75" thickBot="1" x14ac:dyDescent="0.3">
      <c r="A481" s="77"/>
      <c r="B481" s="78" t="s">
        <v>34</v>
      </c>
      <c r="C481" s="79" t="s">
        <v>35</v>
      </c>
      <c r="D481" s="80">
        <v>0.1</v>
      </c>
      <c r="E481" s="192">
        <f>+F474</f>
        <v>3825</v>
      </c>
      <c r="F481" s="189">
        <f>ROUND(D481*E481,)</f>
        <v>383</v>
      </c>
      <c r="K481" s="58"/>
      <c r="L481" s="60"/>
      <c r="M481" s="128"/>
      <c r="N481" s="42"/>
      <c r="O481" s="128"/>
      <c r="P481" s="128"/>
      <c r="Q481" s="128"/>
      <c r="R481" s="128"/>
      <c r="S481" s="37"/>
    </row>
    <row r="482" spans="1:19" ht="15.75" thickBot="1" x14ac:dyDescent="0.3">
      <c r="A482" s="6"/>
      <c r="B482" s="36"/>
      <c r="C482" s="37"/>
      <c r="D482" s="38"/>
      <c r="E482" s="39" t="s">
        <v>22</v>
      </c>
      <c r="F482" s="187">
        <f>SUM(F477:F481)</f>
        <v>2399</v>
      </c>
      <c r="K482" s="38"/>
      <c r="L482" s="60"/>
      <c r="M482" s="136"/>
      <c r="N482" s="117"/>
      <c r="O482" s="137"/>
      <c r="P482" s="134"/>
      <c r="Q482" s="135"/>
      <c r="R482" s="135"/>
      <c r="S482" s="37"/>
    </row>
    <row r="483" spans="1:19" ht="15.75" thickBot="1" x14ac:dyDescent="0.3">
      <c r="A483" s="6"/>
      <c r="B483" s="36"/>
      <c r="C483" s="37"/>
      <c r="D483" s="38"/>
      <c r="E483" s="37"/>
      <c r="F483" s="7"/>
      <c r="K483" s="38"/>
      <c r="L483" s="60"/>
      <c r="M483" s="136"/>
      <c r="N483" s="117"/>
      <c r="O483" s="137"/>
      <c r="P483" s="134"/>
      <c r="Q483" s="135"/>
      <c r="R483" s="135"/>
      <c r="S483" s="37"/>
    </row>
    <row r="484" spans="1:19" ht="15.75" thickBot="1" x14ac:dyDescent="0.3">
      <c r="A484" s="1" t="s">
        <v>23</v>
      </c>
      <c r="B484" s="13"/>
      <c r="C484" s="14"/>
      <c r="D484" s="15"/>
      <c r="E484" s="14"/>
      <c r="F484" s="16"/>
      <c r="K484" s="54"/>
      <c r="L484" s="60"/>
      <c r="M484" s="127"/>
      <c r="N484" s="118"/>
      <c r="O484" s="127"/>
      <c r="P484" s="127"/>
      <c r="Q484" s="128"/>
      <c r="R484" s="135"/>
      <c r="S484" s="37"/>
    </row>
    <row r="485" spans="1:19" x14ac:dyDescent="0.25">
      <c r="A485" s="103"/>
      <c r="B485" s="96" t="s">
        <v>256</v>
      </c>
      <c r="C485" s="97" t="s">
        <v>33</v>
      </c>
      <c r="D485" s="20">
        <v>1</v>
      </c>
      <c r="E485" s="183">
        <v>15816.67</v>
      </c>
      <c r="F485" s="184">
        <f>ROUND(D485*E485,)</f>
        <v>15817</v>
      </c>
      <c r="K485" s="58"/>
      <c r="L485" s="60"/>
      <c r="M485" s="127"/>
      <c r="N485" s="118"/>
      <c r="O485" s="127"/>
      <c r="P485" s="127"/>
      <c r="Q485" s="127"/>
      <c r="R485" s="127"/>
      <c r="S485" s="37"/>
    </row>
    <row r="486" spans="1:19" x14ac:dyDescent="0.25">
      <c r="A486" s="92"/>
      <c r="B486" s="87" t="s">
        <v>247</v>
      </c>
      <c r="C486" s="88" t="s">
        <v>0</v>
      </c>
      <c r="D486" s="89">
        <v>0.2</v>
      </c>
      <c r="E486" s="182">
        <v>50900</v>
      </c>
      <c r="F486" s="188">
        <f>ROUND(D486*E486,)</f>
        <v>10180</v>
      </c>
      <c r="K486" s="58"/>
      <c r="L486" s="60"/>
      <c r="M486" s="127"/>
      <c r="N486" s="118"/>
      <c r="O486" s="127"/>
      <c r="P486" s="127"/>
      <c r="Q486" s="127"/>
      <c r="R486" s="127"/>
      <c r="S486" s="37"/>
    </row>
    <row r="487" spans="1:19" ht="15.75" thickBot="1" x14ac:dyDescent="0.3">
      <c r="A487" s="227"/>
      <c r="B487" s="228" t="s">
        <v>248</v>
      </c>
      <c r="C487" s="229" t="s">
        <v>0</v>
      </c>
      <c r="D487" s="80">
        <v>0.2</v>
      </c>
      <c r="E487" s="192">
        <v>46900</v>
      </c>
      <c r="F487" s="189">
        <f>ROUND(D487*E487,)</f>
        <v>9380</v>
      </c>
      <c r="K487" s="58"/>
      <c r="L487" s="60"/>
      <c r="M487" s="128"/>
      <c r="N487" s="42"/>
      <c r="O487" s="128"/>
      <c r="P487" s="128"/>
      <c r="Q487" s="128"/>
      <c r="R487" s="128"/>
      <c r="S487" s="37"/>
    </row>
    <row r="488" spans="1:19" ht="15.75" thickBot="1" x14ac:dyDescent="0.3">
      <c r="A488" s="6"/>
      <c r="B488" s="36"/>
      <c r="C488" s="37"/>
      <c r="D488" s="38"/>
      <c r="E488" s="37"/>
      <c r="F488" s="7"/>
      <c r="K488" s="58"/>
      <c r="L488" s="60"/>
      <c r="M488" s="136"/>
      <c r="N488" s="117"/>
      <c r="O488" s="137"/>
      <c r="P488" s="134"/>
      <c r="Q488" s="135"/>
      <c r="R488" s="135"/>
      <c r="S488" s="37"/>
    </row>
    <row r="489" spans="1:19" ht="15.75" thickBot="1" x14ac:dyDescent="0.3">
      <c r="A489" s="69" t="s">
        <v>12</v>
      </c>
      <c r="B489" s="64" t="s">
        <v>25</v>
      </c>
      <c r="C489" s="65"/>
      <c r="D489" s="66"/>
      <c r="E489" s="67"/>
      <c r="F489" s="353">
        <f>+F487+F482+F474+F485+F486</f>
        <v>41601</v>
      </c>
      <c r="H489" s="126"/>
      <c r="K489" s="37"/>
      <c r="L489" s="60"/>
      <c r="M489" s="136"/>
      <c r="N489" s="117"/>
      <c r="O489" s="137"/>
      <c r="P489" s="134"/>
      <c r="Q489" s="135"/>
      <c r="R489" s="135"/>
      <c r="S489" s="37"/>
    </row>
    <row r="490" spans="1:19" ht="15.75" thickBot="1" x14ac:dyDescent="0.3">
      <c r="A490" s="37"/>
      <c r="B490" s="36"/>
      <c r="C490" s="37"/>
      <c r="D490" s="37"/>
      <c r="E490" s="39"/>
      <c r="F490" s="59"/>
      <c r="K490" s="37"/>
      <c r="L490" s="60"/>
      <c r="M490" s="127"/>
      <c r="N490" s="118"/>
      <c r="O490" s="127"/>
      <c r="P490" s="127"/>
      <c r="Q490" s="128"/>
      <c r="R490" s="135"/>
      <c r="S490" s="37"/>
    </row>
    <row r="491" spans="1:19" ht="30.75" customHeight="1" x14ac:dyDescent="0.25">
      <c r="A491" s="1" t="s">
        <v>47</v>
      </c>
      <c r="B491" s="355" t="s">
        <v>59</v>
      </c>
      <c r="C491" s="355"/>
      <c r="D491" s="355"/>
      <c r="E491" s="3"/>
      <c r="F491" s="5" t="s">
        <v>15</v>
      </c>
      <c r="K491" s="37"/>
      <c r="L491" s="60"/>
      <c r="M491" s="127"/>
      <c r="N491" s="118"/>
      <c r="O491" s="127"/>
      <c r="P491" s="127"/>
      <c r="Q491" s="128"/>
      <c r="R491" s="135"/>
      <c r="S491" s="37"/>
    </row>
    <row r="492" spans="1:19" ht="15.75" thickBot="1" x14ac:dyDescent="0.3">
      <c r="A492" s="70" t="s">
        <v>9</v>
      </c>
      <c r="B492" s="71">
        <v>2.6</v>
      </c>
      <c r="C492" s="10"/>
      <c r="D492" s="11"/>
      <c r="E492" s="10"/>
      <c r="F492" s="72" t="s">
        <v>33</v>
      </c>
      <c r="K492" s="37"/>
      <c r="L492" s="60"/>
      <c r="M492" s="127"/>
      <c r="N492" s="118"/>
      <c r="O492" s="127"/>
      <c r="P492" s="127"/>
      <c r="Q492" s="128"/>
      <c r="R492" s="135"/>
      <c r="S492" s="37"/>
    </row>
    <row r="493" spans="1:19" ht="15.75" thickBot="1" x14ac:dyDescent="0.3">
      <c r="A493" s="8"/>
      <c r="B493" s="9"/>
      <c r="C493" s="10"/>
      <c r="D493" s="11"/>
      <c r="E493" s="10"/>
      <c r="F493" s="12"/>
      <c r="K493" s="37"/>
      <c r="L493" s="60"/>
      <c r="M493" s="127"/>
      <c r="N493" s="118"/>
      <c r="O493" s="127"/>
      <c r="P493" s="127"/>
      <c r="Q493" s="128"/>
      <c r="R493" s="135"/>
      <c r="S493" s="37"/>
    </row>
    <row r="494" spans="1:19" ht="15.75" thickBot="1" x14ac:dyDescent="0.3">
      <c r="A494" s="33" t="s">
        <v>179</v>
      </c>
      <c r="B494" s="40" t="s">
        <v>47</v>
      </c>
      <c r="C494" s="34" t="s">
        <v>15</v>
      </c>
      <c r="D494" s="35" t="s">
        <v>16</v>
      </c>
      <c r="E494" s="34" t="s">
        <v>17</v>
      </c>
      <c r="F494" s="41" t="s">
        <v>18</v>
      </c>
      <c r="K494" s="37"/>
      <c r="L494" s="60"/>
      <c r="M494" s="127"/>
      <c r="N494" s="118"/>
      <c r="O494" s="127"/>
      <c r="P494" s="127"/>
      <c r="Q494" s="128"/>
      <c r="R494" s="135"/>
      <c r="S494" s="37"/>
    </row>
    <row r="495" spans="1:19" ht="15.75" thickBot="1" x14ac:dyDescent="0.3">
      <c r="A495" s="6"/>
      <c r="B495" s="36"/>
      <c r="C495" s="37"/>
      <c r="D495" s="38"/>
      <c r="E495" s="37"/>
      <c r="F495" s="7"/>
      <c r="K495" s="37"/>
      <c r="L495" s="60"/>
      <c r="M495" s="127"/>
      <c r="N495" s="118"/>
      <c r="O495" s="127"/>
      <c r="P495" s="127"/>
      <c r="Q495" s="128"/>
      <c r="R495" s="135"/>
      <c r="S495" s="37"/>
    </row>
    <row r="496" spans="1:19" ht="15.75" thickBot="1" x14ac:dyDescent="0.3">
      <c r="A496" s="1" t="s">
        <v>19</v>
      </c>
      <c r="B496" s="13"/>
      <c r="C496" s="14"/>
      <c r="D496" s="15"/>
      <c r="E496" s="14"/>
      <c r="F496" s="16"/>
      <c r="K496" s="37"/>
      <c r="L496" s="60"/>
      <c r="M496" s="127"/>
      <c r="N496" s="118"/>
      <c r="O496" s="127"/>
      <c r="P496" s="127"/>
      <c r="Q496" s="128"/>
      <c r="R496" s="135"/>
      <c r="S496" s="37"/>
    </row>
    <row r="497" spans="1:19" ht="30" x14ac:dyDescent="0.25">
      <c r="A497" s="95"/>
      <c r="B497" s="96" t="s">
        <v>30</v>
      </c>
      <c r="C497" s="97" t="s">
        <v>29</v>
      </c>
      <c r="D497" s="20">
        <v>7.0000000000000007E-2</v>
      </c>
      <c r="E497" s="183">
        <v>164667</v>
      </c>
      <c r="F497" s="184">
        <f>ROUND(D497*E497,)</f>
        <v>11527</v>
      </c>
      <c r="K497" s="37"/>
      <c r="L497" s="60"/>
      <c r="M497" s="127"/>
      <c r="N497" s="118"/>
      <c r="O497" s="127"/>
      <c r="P497" s="127"/>
      <c r="Q497" s="128"/>
      <c r="R497" s="135"/>
      <c r="S497" s="37"/>
    </row>
    <row r="498" spans="1:19" ht="15.75" thickBot="1" x14ac:dyDescent="0.3">
      <c r="A498" s="23"/>
      <c r="B498" s="78" t="s">
        <v>98</v>
      </c>
      <c r="C498" s="79" t="s">
        <v>29</v>
      </c>
      <c r="D498" s="80">
        <v>0.06</v>
      </c>
      <c r="E498" s="192">
        <v>133000</v>
      </c>
      <c r="F498" s="189">
        <f>ROUND(D498*E498,)</f>
        <v>7980</v>
      </c>
      <c r="K498" s="37"/>
      <c r="L498" s="60"/>
      <c r="M498" s="127"/>
      <c r="N498" s="118"/>
      <c r="O498" s="127"/>
      <c r="P498" s="127"/>
      <c r="Q498" s="128"/>
      <c r="R498" s="135"/>
      <c r="S498" s="37"/>
    </row>
    <row r="499" spans="1:19" ht="15.75" thickBot="1" x14ac:dyDescent="0.3">
      <c r="A499" s="6"/>
      <c r="B499" s="36"/>
      <c r="C499" s="37"/>
      <c r="D499" s="38"/>
      <c r="E499" s="39" t="s">
        <v>20</v>
      </c>
      <c r="F499" s="187">
        <f>+F497+F498</f>
        <v>19507</v>
      </c>
      <c r="K499" s="37"/>
      <c r="L499" s="60"/>
      <c r="M499" s="127"/>
      <c r="N499" s="118"/>
      <c r="O499" s="127"/>
      <c r="P499" s="127"/>
      <c r="Q499" s="128"/>
      <c r="R499" s="135"/>
      <c r="S499" s="37"/>
    </row>
    <row r="500" spans="1:19" ht="15.75" thickBot="1" x14ac:dyDescent="0.3">
      <c r="A500" s="6"/>
      <c r="B500" s="36"/>
      <c r="C500" s="37"/>
      <c r="D500" s="38"/>
      <c r="E500" s="37"/>
      <c r="F500" s="7"/>
      <c r="K500" s="37"/>
      <c r="L500" s="60"/>
      <c r="M500" s="127"/>
      <c r="N500" s="118"/>
      <c r="O500" s="127"/>
      <c r="P500" s="127"/>
      <c r="Q500" s="128"/>
      <c r="R500" s="135"/>
      <c r="S500" s="37"/>
    </row>
    <row r="501" spans="1:19" ht="15.75" thickBot="1" x14ac:dyDescent="0.3">
      <c r="A501" s="1" t="s">
        <v>21</v>
      </c>
      <c r="B501" s="13"/>
      <c r="C501" s="14"/>
      <c r="D501" s="15"/>
      <c r="E501" s="14"/>
      <c r="F501" s="16"/>
      <c r="K501" s="37"/>
      <c r="L501" s="60"/>
      <c r="M501" s="127"/>
      <c r="N501" s="118"/>
      <c r="O501" s="127"/>
      <c r="P501" s="127"/>
      <c r="Q501" s="128"/>
      <c r="R501" s="135"/>
      <c r="S501" s="37"/>
    </row>
    <row r="502" spans="1:19" x14ac:dyDescent="0.25">
      <c r="A502" s="103"/>
      <c r="B502" s="109" t="s">
        <v>100</v>
      </c>
      <c r="C502" s="110" t="s">
        <v>32</v>
      </c>
      <c r="D502" s="112">
        <v>0.06</v>
      </c>
      <c r="E502" s="183">
        <v>85000</v>
      </c>
      <c r="F502" s="184">
        <f>ROUND(D502*E502,)</f>
        <v>5100</v>
      </c>
      <c r="K502" s="37"/>
      <c r="L502" s="60"/>
      <c r="M502" s="127"/>
      <c r="N502" s="118"/>
      <c r="O502" s="127"/>
      <c r="P502" s="127"/>
      <c r="Q502" s="128"/>
      <c r="R502" s="135"/>
      <c r="S502" s="37"/>
    </row>
    <row r="503" spans="1:19" ht="15.75" thickBot="1" x14ac:dyDescent="0.3">
      <c r="A503" s="23"/>
      <c r="B503" s="24" t="s">
        <v>34</v>
      </c>
      <c r="C503" s="25" t="s">
        <v>35</v>
      </c>
      <c r="D503" s="26">
        <v>0.3</v>
      </c>
      <c r="E503" s="181">
        <v>1700</v>
      </c>
      <c r="F503" s="189">
        <f>ROUND(D503*E503,)</f>
        <v>510</v>
      </c>
      <c r="K503" s="37"/>
      <c r="L503" s="60"/>
      <c r="M503" s="127"/>
      <c r="N503" s="118"/>
      <c r="O503" s="127"/>
      <c r="P503" s="127"/>
      <c r="Q503" s="128"/>
      <c r="R503" s="135"/>
      <c r="S503" s="37"/>
    </row>
    <row r="504" spans="1:19" ht="15.75" thickBot="1" x14ac:dyDescent="0.3">
      <c r="A504" s="6"/>
      <c r="B504" s="36"/>
      <c r="C504" s="37"/>
      <c r="D504" s="38"/>
      <c r="E504" s="39" t="s">
        <v>22</v>
      </c>
      <c r="F504" s="187">
        <f>SUM(F502:F503)</f>
        <v>5610</v>
      </c>
      <c r="K504" s="37"/>
      <c r="L504" s="60"/>
      <c r="M504" s="127"/>
      <c r="N504" s="118"/>
      <c r="O504" s="127"/>
      <c r="P504" s="127"/>
      <c r="Q504" s="128"/>
      <c r="R504" s="135"/>
      <c r="S504" s="37"/>
    </row>
    <row r="505" spans="1:19" ht="15.75" thickBot="1" x14ac:dyDescent="0.3">
      <c r="A505" s="6"/>
      <c r="B505" s="36"/>
      <c r="C505" s="37"/>
      <c r="D505" s="38"/>
      <c r="E505" s="37"/>
      <c r="F505" s="7"/>
      <c r="K505" s="37"/>
      <c r="L505" s="60"/>
      <c r="M505" s="127"/>
      <c r="N505" s="118"/>
      <c r="O505" s="127"/>
      <c r="P505" s="127"/>
      <c r="Q505" s="128"/>
      <c r="R505" s="135"/>
      <c r="S505" s="37"/>
    </row>
    <row r="506" spans="1:19" ht="15.75" thickBot="1" x14ac:dyDescent="0.3">
      <c r="A506" s="1" t="s">
        <v>23</v>
      </c>
      <c r="B506" s="13"/>
      <c r="C506" s="14"/>
      <c r="D506" s="15"/>
      <c r="E506" s="14"/>
      <c r="F506" s="16"/>
      <c r="K506" s="37"/>
      <c r="L506" s="60"/>
      <c r="M506" s="127"/>
      <c r="N506" s="118"/>
      <c r="O506" s="127"/>
      <c r="P506" s="127"/>
      <c r="Q506" s="128"/>
      <c r="R506" s="135"/>
      <c r="S506" s="37"/>
    </row>
    <row r="507" spans="1:19" x14ac:dyDescent="0.25">
      <c r="A507" s="17"/>
      <c r="B507" s="18"/>
      <c r="C507" s="19"/>
      <c r="D507" s="20"/>
      <c r="E507" s="21"/>
      <c r="F507" s="22">
        <f>ROUND(D507*E507,)</f>
        <v>0</v>
      </c>
      <c r="K507" s="37"/>
      <c r="L507" s="60"/>
      <c r="M507" s="127"/>
      <c r="N507" s="118"/>
      <c r="O507" s="127"/>
      <c r="P507" s="127"/>
      <c r="Q507" s="128"/>
      <c r="R507" s="135"/>
      <c r="S507" s="37"/>
    </row>
    <row r="508" spans="1:19" ht="15.75" thickBot="1" x14ac:dyDescent="0.3">
      <c r="A508" s="30"/>
      <c r="B508" s="31"/>
      <c r="C508" s="32"/>
      <c r="D508" s="26"/>
      <c r="E508" s="27"/>
      <c r="F508" s="76">
        <f>ROUND(D508*E508,)</f>
        <v>0</v>
      </c>
      <c r="K508" s="37"/>
      <c r="L508" s="60"/>
      <c r="M508" s="127"/>
      <c r="N508" s="118"/>
      <c r="O508" s="127"/>
      <c r="P508" s="127"/>
      <c r="Q508" s="128"/>
      <c r="R508" s="135"/>
      <c r="S508" s="37"/>
    </row>
    <row r="509" spans="1:19" ht="15.75" thickBot="1" x14ac:dyDescent="0.3">
      <c r="A509" s="6"/>
      <c r="B509" s="36"/>
      <c r="C509" s="37"/>
      <c r="D509" s="38"/>
      <c r="E509" s="39" t="s">
        <v>24</v>
      </c>
      <c r="F509" s="29">
        <f>F507+F508</f>
        <v>0</v>
      </c>
      <c r="K509" s="37"/>
      <c r="L509" s="60"/>
      <c r="M509" s="127"/>
      <c r="N509" s="118"/>
      <c r="O509" s="127"/>
      <c r="P509" s="127"/>
      <c r="Q509" s="128"/>
      <c r="R509" s="135"/>
      <c r="S509" s="37"/>
    </row>
    <row r="510" spans="1:19" ht="15.75" thickBot="1" x14ac:dyDescent="0.3">
      <c r="A510" s="6"/>
      <c r="B510" s="36"/>
      <c r="C510" s="37"/>
      <c r="D510" s="38"/>
      <c r="E510" s="37"/>
      <c r="F510" s="7"/>
      <c r="K510" s="37"/>
      <c r="L510" s="60"/>
      <c r="M510" s="127"/>
      <c r="N510" s="143"/>
      <c r="O510" s="127"/>
      <c r="P510" s="127"/>
      <c r="Q510" s="128"/>
      <c r="R510" s="135"/>
      <c r="S510" s="37"/>
    </row>
    <row r="511" spans="1:19" ht="15.75" thickBot="1" x14ac:dyDescent="0.3">
      <c r="A511" s="69" t="s">
        <v>12</v>
      </c>
      <c r="B511" s="64" t="s">
        <v>25</v>
      </c>
      <c r="C511" s="65"/>
      <c r="D511" s="66"/>
      <c r="E511" s="67"/>
      <c r="F511" s="351">
        <f>+F509+F504+F499</f>
        <v>25117</v>
      </c>
      <c r="H511" s="126"/>
      <c r="K511" s="37"/>
      <c r="L511" s="60"/>
      <c r="M511" s="37"/>
      <c r="N511" s="56"/>
      <c r="O511" s="37"/>
      <c r="P511" s="37"/>
      <c r="Q511" s="37"/>
      <c r="R511" s="57"/>
      <c r="S511" s="37"/>
    </row>
    <row r="512" spans="1:19" ht="15.75" thickBot="1" x14ac:dyDescent="0.3">
      <c r="A512" s="37"/>
      <c r="B512" s="36"/>
      <c r="C512" s="37"/>
      <c r="D512" s="37"/>
      <c r="E512" s="39"/>
      <c r="F512" s="59"/>
      <c r="K512" s="37"/>
      <c r="L512" s="60"/>
      <c r="M512" s="37"/>
      <c r="N512" s="36"/>
      <c r="O512" s="37"/>
      <c r="P512" s="37"/>
      <c r="Q512" s="37"/>
      <c r="R512" s="37"/>
      <c r="S512" s="37"/>
    </row>
    <row r="513" spans="1:19" ht="27" customHeight="1" x14ac:dyDescent="0.25">
      <c r="A513" s="1" t="s">
        <v>47</v>
      </c>
      <c r="B513" s="355" t="s">
        <v>187</v>
      </c>
      <c r="C513" s="355"/>
      <c r="D513" s="355"/>
      <c r="E513" s="3"/>
      <c r="F513" s="5" t="s">
        <v>15</v>
      </c>
      <c r="K513" s="37"/>
      <c r="L513" s="60"/>
      <c r="M513" s="39"/>
      <c r="N513" s="117"/>
      <c r="O513" s="37"/>
      <c r="P513" s="37"/>
      <c r="Q513" s="37"/>
      <c r="R513" s="37"/>
      <c r="S513" s="37"/>
    </row>
    <row r="514" spans="1:19" ht="15.75" thickBot="1" x14ac:dyDescent="0.3">
      <c r="A514" s="70" t="s">
        <v>9</v>
      </c>
      <c r="B514" s="71">
        <v>2.7</v>
      </c>
      <c r="C514" s="10"/>
      <c r="D514" s="11"/>
      <c r="E514" s="10"/>
      <c r="F514" s="72" t="s">
        <v>33</v>
      </c>
      <c r="K514" s="37"/>
      <c r="L514" s="60"/>
      <c r="M514" s="37"/>
      <c r="N514" s="36"/>
      <c r="O514" s="37"/>
      <c r="P514" s="37"/>
      <c r="Q514" s="37"/>
      <c r="R514" s="37"/>
      <c r="S514" s="37"/>
    </row>
    <row r="515" spans="1:19" ht="15.75" thickBot="1" x14ac:dyDescent="0.3">
      <c r="A515" s="8"/>
      <c r="B515" s="9"/>
      <c r="C515" s="10"/>
      <c r="D515" s="11"/>
      <c r="E515" s="10"/>
      <c r="F515" s="12"/>
      <c r="K515" s="37"/>
      <c r="L515" s="60"/>
      <c r="M515" s="57"/>
      <c r="N515" s="74"/>
      <c r="O515" s="57"/>
      <c r="P515" s="57"/>
      <c r="Q515" s="57"/>
      <c r="R515" s="57"/>
      <c r="S515" s="37"/>
    </row>
    <row r="516" spans="1:19" ht="15.75" thickBot="1" x14ac:dyDescent="0.3">
      <c r="A516" s="33" t="s">
        <v>179</v>
      </c>
      <c r="B516" s="40" t="s">
        <v>47</v>
      </c>
      <c r="C516" s="34" t="s">
        <v>15</v>
      </c>
      <c r="D516" s="35" t="s">
        <v>16</v>
      </c>
      <c r="E516" s="34" t="s">
        <v>17</v>
      </c>
      <c r="F516" s="41" t="s">
        <v>18</v>
      </c>
      <c r="K516" s="37"/>
      <c r="L516" s="60"/>
      <c r="M516" s="37"/>
      <c r="N516" s="36"/>
      <c r="O516" s="37"/>
      <c r="P516" s="37"/>
      <c r="Q516" s="37"/>
      <c r="R516" s="37"/>
      <c r="S516" s="37"/>
    </row>
    <row r="517" spans="1:19" ht="15.75" thickBot="1" x14ac:dyDescent="0.3">
      <c r="A517" s="6"/>
      <c r="B517" s="36"/>
      <c r="C517" s="37"/>
      <c r="D517" s="38"/>
      <c r="E517" s="37"/>
      <c r="F517" s="7"/>
      <c r="K517" s="37"/>
      <c r="L517" s="60"/>
      <c r="M517" s="39"/>
      <c r="N517" s="53"/>
      <c r="O517" s="39"/>
      <c r="P517" s="39"/>
      <c r="Q517" s="39"/>
      <c r="R517" s="39"/>
      <c r="S517" s="37"/>
    </row>
    <row r="518" spans="1:19" ht="15.75" thickBot="1" x14ac:dyDescent="0.3">
      <c r="A518" s="1" t="s">
        <v>19</v>
      </c>
      <c r="B518" s="13"/>
      <c r="C518" s="14"/>
      <c r="D518" s="15"/>
      <c r="E518" s="14"/>
      <c r="F518" s="16"/>
      <c r="K518" s="37"/>
      <c r="L518" s="60"/>
      <c r="M518" s="55"/>
      <c r="N518" s="56"/>
      <c r="O518" s="57"/>
      <c r="P518" s="75"/>
      <c r="Q518" s="59"/>
      <c r="R518" s="59"/>
      <c r="S518" s="37"/>
    </row>
    <row r="519" spans="1:19" ht="27.75" customHeight="1" x14ac:dyDescent="0.25">
      <c r="A519" s="95"/>
      <c r="B519" s="96" t="s">
        <v>105</v>
      </c>
      <c r="C519" s="97" t="s">
        <v>29</v>
      </c>
      <c r="D519" s="20">
        <v>0.05</v>
      </c>
      <c r="E519" s="183">
        <v>82333</v>
      </c>
      <c r="F519" s="184">
        <f>ROUND(D519*E519,)</f>
        <v>4117</v>
      </c>
      <c r="K519" s="37"/>
      <c r="L519" s="60"/>
      <c r="M519" s="60"/>
      <c r="N519" s="50"/>
      <c r="O519" s="61"/>
      <c r="P519" s="75"/>
      <c r="Q519" s="59"/>
      <c r="R519" s="59"/>
      <c r="S519" s="37"/>
    </row>
    <row r="520" spans="1:19" ht="15.75" thickBot="1" x14ac:dyDescent="0.3">
      <c r="A520" s="23"/>
      <c r="B520" s="24"/>
      <c r="C520" s="25"/>
      <c r="D520" s="26"/>
      <c r="E520" s="27"/>
      <c r="F520" s="28">
        <f>ROUND(D520*E520,)</f>
        <v>0</v>
      </c>
      <c r="K520" s="37"/>
      <c r="L520" s="60"/>
      <c r="M520" s="60"/>
      <c r="N520" s="50"/>
      <c r="O520" s="61"/>
      <c r="P520" s="75"/>
      <c r="Q520" s="59"/>
      <c r="R520" s="59"/>
      <c r="S520" s="37"/>
    </row>
    <row r="521" spans="1:19" ht="15.75" thickBot="1" x14ac:dyDescent="0.3">
      <c r="A521" s="6"/>
      <c r="B521" s="36"/>
      <c r="C521" s="37"/>
      <c r="D521" s="38"/>
      <c r="E521" s="39" t="s">
        <v>20</v>
      </c>
      <c r="F521" s="187">
        <f>+F519+F520</f>
        <v>4117</v>
      </c>
      <c r="K521" s="37"/>
      <c r="L521" s="60"/>
      <c r="M521" s="37"/>
      <c r="N521" s="36"/>
      <c r="O521" s="37"/>
      <c r="P521" s="37"/>
      <c r="Q521" s="39"/>
      <c r="R521" s="59"/>
      <c r="S521" s="37"/>
    </row>
    <row r="522" spans="1:19" ht="15.75" thickBot="1" x14ac:dyDescent="0.3">
      <c r="A522" s="6"/>
      <c r="B522" s="36"/>
      <c r="C522" s="37"/>
      <c r="D522" s="38"/>
      <c r="E522" s="37"/>
      <c r="F522" s="7"/>
      <c r="K522" s="37"/>
      <c r="L522" s="60"/>
      <c r="M522" s="37"/>
      <c r="N522" s="36"/>
      <c r="O522" s="37"/>
      <c r="P522" s="37"/>
      <c r="Q522" s="37"/>
      <c r="R522" s="37"/>
      <c r="S522" s="37"/>
    </row>
    <row r="523" spans="1:19" ht="15.75" thickBot="1" x14ac:dyDescent="0.3">
      <c r="A523" s="1" t="s">
        <v>21</v>
      </c>
      <c r="B523" s="13"/>
      <c r="C523" s="14"/>
      <c r="D523" s="15"/>
      <c r="E523" s="14"/>
      <c r="F523" s="16"/>
      <c r="K523" s="37"/>
      <c r="L523" s="60"/>
      <c r="M523" s="39"/>
      <c r="N523" s="53"/>
      <c r="O523" s="39"/>
      <c r="P523" s="39"/>
      <c r="Q523" s="39"/>
      <c r="R523" s="39"/>
      <c r="S523" s="37"/>
    </row>
    <row r="524" spans="1:19" x14ac:dyDescent="0.25">
      <c r="A524" s="103"/>
      <c r="B524" s="109"/>
      <c r="C524" s="110"/>
      <c r="D524" s="112"/>
      <c r="E524" s="113"/>
      <c r="F524" s="22"/>
      <c r="K524" s="37"/>
      <c r="L524" s="60"/>
      <c r="M524" s="55"/>
      <c r="N524" s="56"/>
      <c r="O524" s="57"/>
      <c r="P524" s="75"/>
      <c r="Q524" s="59"/>
      <c r="R524" s="59"/>
      <c r="S524" s="37"/>
    </row>
    <row r="525" spans="1:19" ht="15.75" thickBot="1" x14ac:dyDescent="0.3">
      <c r="A525" s="23"/>
      <c r="B525" s="24" t="s">
        <v>34</v>
      </c>
      <c r="C525" s="25" t="s">
        <v>35</v>
      </c>
      <c r="D525" s="26">
        <v>0.05</v>
      </c>
      <c r="E525" s="181">
        <v>1700</v>
      </c>
      <c r="F525" s="189">
        <f>ROUND(D525*E525,)</f>
        <v>85</v>
      </c>
      <c r="K525" s="37"/>
      <c r="L525" s="60"/>
      <c r="M525" s="60"/>
      <c r="N525" s="50"/>
      <c r="O525" s="61"/>
      <c r="P525" s="75"/>
      <c r="Q525" s="59"/>
      <c r="R525" s="59"/>
      <c r="S525" s="37"/>
    </row>
    <row r="526" spans="1:19" ht="15.75" thickBot="1" x14ac:dyDescent="0.3">
      <c r="A526" s="6"/>
      <c r="B526" s="36"/>
      <c r="C526" s="37"/>
      <c r="D526" s="38"/>
      <c r="E526" s="39" t="s">
        <v>22</v>
      </c>
      <c r="F526" s="187">
        <f>SUM(F524:F525)</f>
        <v>85</v>
      </c>
      <c r="K526" s="37"/>
      <c r="L526" s="60"/>
      <c r="M526" s="60"/>
      <c r="N526" s="50"/>
      <c r="O526" s="61"/>
      <c r="P526" s="75"/>
      <c r="Q526" s="59"/>
      <c r="R526" s="59"/>
      <c r="S526" s="37"/>
    </row>
    <row r="527" spans="1:19" ht="15.75" thickBot="1" x14ac:dyDescent="0.3">
      <c r="A527" s="6"/>
      <c r="B527" s="36"/>
      <c r="C527" s="37"/>
      <c r="D527" s="38"/>
      <c r="E527" s="37"/>
      <c r="F527" s="7"/>
      <c r="K527" s="37"/>
      <c r="L527" s="60"/>
      <c r="M527" s="37"/>
      <c r="N527" s="36"/>
      <c r="O527" s="37"/>
      <c r="P527" s="37"/>
      <c r="Q527" s="39"/>
      <c r="R527" s="59"/>
      <c r="S527" s="37"/>
    </row>
    <row r="528" spans="1:19" ht="15.75" thickBot="1" x14ac:dyDescent="0.3">
      <c r="A528" s="1" t="s">
        <v>23</v>
      </c>
      <c r="B528" s="13"/>
      <c r="C528" s="14"/>
      <c r="D528" s="15"/>
      <c r="E528" s="14"/>
      <c r="F528" s="16"/>
      <c r="K528" s="37"/>
      <c r="L528" s="60"/>
      <c r="M528" s="37"/>
      <c r="N528" s="36"/>
      <c r="O528" s="37"/>
      <c r="P528" s="37"/>
      <c r="Q528" s="37"/>
      <c r="R528" s="37"/>
      <c r="S528" s="37"/>
    </row>
    <row r="529" spans="1:19" x14ac:dyDescent="0.25">
      <c r="A529" s="17"/>
      <c r="B529" s="18" t="s">
        <v>210</v>
      </c>
      <c r="C529" s="19" t="s">
        <v>42</v>
      </c>
      <c r="D529" s="20">
        <v>0.02</v>
      </c>
      <c r="E529" s="183">
        <v>111900</v>
      </c>
      <c r="F529" s="184">
        <f>ROUND(D529*E529,)</f>
        <v>2238</v>
      </c>
      <c r="K529" s="37"/>
      <c r="L529" s="60"/>
      <c r="M529" s="39"/>
      <c r="N529" s="53"/>
      <c r="O529" s="39"/>
      <c r="P529" s="39"/>
      <c r="Q529" s="39"/>
      <c r="R529" s="39"/>
      <c r="S529" s="37"/>
    </row>
    <row r="530" spans="1:19" x14ac:dyDescent="0.25">
      <c r="A530" s="141"/>
      <c r="B530" s="43" t="s">
        <v>50</v>
      </c>
      <c r="C530" s="82" t="s">
        <v>33</v>
      </c>
      <c r="D530" s="148">
        <v>0.01</v>
      </c>
      <c r="E530" s="198">
        <v>36900</v>
      </c>
      <c r="F530" s="185">
        <f>ROUND(D530*E530,)</f>
        <v>369</v>
      </c>
      <c r="K530" s="37"/>
      <c r="L530" s="60"/>
      <c r="M530" s="55"/>
      <c r="N530" s="56"/>
      <c r="O530" s="57"/>
      <c r="P530" s="75"/>
      <c r="Q530" s="59"/>
      <c r="R530" s="59"/>
      <c r="S530" s="37"/>
    </row>
    <row r="531" spans="1:19" ht="29.25" customHeight="1" thickBot="1" x14ac:dyDescent="0.3">
      <c r="A531" s="30"/>
      <c r="B531" s="228" t="s">
        <v>106</v>
      </c>
      <c r="C531" s="229" t="s">
        <v>52</v>
      </c>
      <c r="D531" s="140">
        <v>0.01</v>
      </c>
      <c r="E531" s="181">
        <v>9500</v>
      </c>
      <c r="F531" s="189">
        <f>ROUND(D531*E531,)</f>
        <v>95</v>
      </c>
      <c r="K531" s="37"/>
      <c r="L531" s="60"/>
      <c r="M531" s="55"/>
      <c r="N531" s="56"/>
      <c r="O531" s="57"/>
      <c r="P531" s="75"/>
      <c r="Q531" s="59"/>
      <c r="R531" s="59"/>
      <c r="S531" s="37"/>
    </row>
    <row r="532" spans="1:19" ht="15.75" thickBot="1" x14ac:dyDescent="0.3">
      <c r="A532" s="6"/>
      <c r="B532" s="36"/>
      <c r="C532" s="37"/>
      <c r="D532" s="38"/>
      <c r="E532" s="39" t="s">
        <v>24</v>
      </c>
      <c r="F532" s="187">
        <f>F529+F531+F530</f>
        <v>2702</v>
      </c>
      <c r="K532" s="37"/>
      <c r="L532" s="60"/>
      <c r="M532" s="55"/>
      <c r="N532" s="143"/>
      <c r="O532" s="57"/>
      <c r="P532" s="75"/>
      <c r="Q532" s="59"/>
      <c r="R532" s="59"/>
      <c r="S532" s="37"/>
    </row>
    <row r="533" spans="1:19" ht="15.75" thickBot="1" x14ac:dyDescent="0.3">
      <c r="A533" s="6"/>
      <c r="B533" s="36"/>
      <c r="C533" s="37"/>
      <c r="D533" s="38"/>
      <c r="E533" s="37"/>
      <c r="F533" s="7"/>
      <c r="K533" s="37"/>
      <c r="L533" s="60"/>
      <c r="M533" s="55"/>
      <c r="N533" s="56"/>
      <c r="O533" s="57"/>
      <c r="P533" s="75"/>
      <c r="Q533" s="59"/>
      <c r="R533" s="59"/>
      <c r="S533" s="37"/>
    </row>
    <row r="534" spans="1:19" ht="15.75" thickBot="1" x14ac:dyDescent="0.3">
      <c r="A534" s="69" t="s">
        <v>12</v>
      </c>
      <c r="B534" s="64" t="s">
        <v>25</v>
      </c>
      <c r="C534" s="65"/>
      <c r="D534" s="66"/>
      <c r="E534" s="67"/>
      <c r="F534" s="351">
        <f>+F532+F526+F521</f>
        <v>6904</v>
      </c>
      <c r="H534" s="126"/>
      <c r="K534" s="37"/>
      <c r="L534" s="60"/>
      <c r="M534" s="37"/>
      <c r="N534" s="36"/>
      <c r="O534" s="37"/>
      <c r="P534" s="37"/>
      <c r="Q534" s="39"/>
      <c r="R534" s="59"/>
      <c r="S534" s="37"/>
    </row>
    <row r="535" spans="1:19" ht="15.75" thickBot="1" x14ac:dyDescent="0.3">
      <c r="A535" s="37"/>
      <c r="B535" s="36"/>
      <c r="C535" s="37"/>
      <c r="D535" s="37"/>
      <c r="E535" s="39"/>
      <c r="F535" s="59"/>
      <c r="K535" s="37"/>
      <c r="L535" s="60"/>
      <c r="M535" s="37"/>
      <c r="N535" s="36"/>
      <c r="O535" s="37"/>
      <c r="P535" s="37"/>
      <c r="Q535" s="37"/>
      <c r="R535" s="37"/>
      <c r="S535" s="37"/>
    </row>
    <row r="536" spans="1:19" ht="45.75" customHeight="1" x14ac:dyDescent="0.25">
      <c r="A536" s="1" t="s">
        <v>47</v>
      </c>
      <c r="B536" s="355" t="s">
        <v>157</v>
      </c>
      <c r="C536" s="355"/>
      <c r="D536" s="355"/>
      <c r="E536" s="3"/>
      <c r="F536" s="5" t="s">
        <v>15</v>
      </c>
      <c r="K536" s="37"/>
      <c r="L536" s="60"/>
      <c r="M536" s="37"/>
      <c r="N536" s="36"/>
      <c r="O536" s="37"/>
      <c r="P536" s="37"/>
      <c r="Q536" s="37"/>
      <c r="R536" s="37"/>
      <c r="S536" s="37"/>
    </row>
    <row r="537" spans="1:19" ht="15.75" thickBot="1" x14ac:dyDescent="0.3">
      <c r="A537" s="70" t="s">
        <v>9</v>
      </c>
      <c r="B537" s="71">
        <v>2.8</v>
      </c>
      <c r="C537" s="10"/>
      <c r="D537" s="11"/>
      <c r="E537" s="10"/>
      <c r="F537" s="72" t="s">
        <v>26</v>
      </c>
      <c r="K537" s="37"/>
      <c r="L537" s="60"/>
      <c r="M537" s="37"/>
      <c r="N537" s="36"/>
      <c r="O537" s="37"/>
      <c r="P537" s="37"/>
      <c r="Q537" s="37"/>
      <c r="R537" s="37"/>
      <c r="S537" s="37"/>
    </row>
    <row r="538" spans="1:19" ht="15.75" thickBot="1" x14ac:dyDescent="0.3">
      <c r="A538" s="6"/>
      <c r="B538" s="36"/>
      <c r="C538" s="37"/>
      <c r="D538" s="38"/>
      <c r="E538" s="37"/>
      <c r="F538" s="7"/>
      <c r="K538" s="37"/>
      <c r="L538" s="60"/>
      <c r="M538" s="37"/>
      <c r="N538" s="36"/>
      <c r="O538" s="37"/>
      <c r="P538" s="37"/>
      <c r="Q538" s="37"/>
      <c r="R538" s="37"/>
      <c r="S538" s="37"/>
    </row>
    <row r="539" spans="1:19" ht="15.75" thickBot="1" x14ac:dyDescent="0.3">
      <c r="A539" s="33" t="s">
        <v>179</v>
      </c>
      <c r="B539" s="40" t="s">
        <v>47</v>
      </c>
      <c r="C539" s="34" t="s">
        <v>15</v>
      </c>
      <c r="D539" s="35" t="s">
        <v>16</v>
      </c>
      <c r="E539" s="34" t="s">
        <v>17</v>
      </c>
      <c r="F539" s="41" t="s">
        <v>18</v>
      </c>
      <c r="K539" s="37"/>
      <c r="L539" s="60"/>
      <c r="M539" s="37"/>
      <c r="N539" s="36"/>
      <c r="O539" s="37"/>
      <c r="P539" s="37"/>
      <c r="Q539" s="37"/>
      <c r="R539" s="37"/>
      <c r="S539" s="37"/>
    </row>
    <row r="540" spans="1:19" ht="15.75" thickBot="1" x14ac:dyDescent="0.3">
      <c r="A540" s="6"/>
      <c r="B540" s="36"/>
      <c r="C540" s="37"/>
      <c r="D540" s="38"/>
      <c r="E540" s="37"/>
      <c r="F540" s="7"/>
      <c r="K540" s="37"/>
      <c r="L540" s="60"/>
      <c r="M540" s="37"/>
      <c r="N540" s="36"/>
      <c r="O540" s="37"/>
      <c r="P540" s="37"/>
      <c r="Q540" s="37"/>
      <c r="R540" s="37"/>
      <c r="S540" s="37"/>
    </row>
    <row r="541" spans="1:19" ht="15.75" thickBot="1" x14ac:dyDescent="0.3">
      <c r="A541" s="247" t="s">
        <v>19</v>
      </c>
      <c r="B541" s="248"/>
      <c r="C541" s="249"/>
      <c r="D541" s="250"/>
      <c r="E541" s="249"/>
      <c r="F541" s="251"/>
      <c r="K541" s="37"/>
      <c r="L541" s="60"/>
      <c r="M541" s="37"/>
      <c r="N541" s="36"/>
      <c r="O541" s="37"/>
      <c r="P541" s="37"/>
      <c r="Q541" s="37"/>
      <c r="R541" s="37"/>
      <c r="S541" s="37"/>
    </row>
    <row r="542" spans="1:19" ht="30" x14ac:dyDescent="0.25">
      <c r="A542" s="95"/>
      <c r="B542" s="96" t="s">
        <v>30</v>
      </c>
      <c r="C542" s="97" t="s">
        <v>29</v>
      </c>
      <c r="D542" s="20">
        <v>0.18</v>
      </c>
      <c r="E542" s="183">
        <v>164667</v>
      </c>
      <c r="F542" s="184">
        <f>ROUND(D542*E542,)</f>
        <v>29640</v>
      </c>
      <c r="K542" s="37"/>
      <c r="L542" s="60"/>
      <c r="M542" s="37"/>
      <c r="N542" s="36"/>
      <c r="O542" s="37"/>
      <c r="P542" s="37"/>
      <c r="Q542" s="37"/>
      <c r="R542" s="37"/>
      <c r="S542" s="37"/>
    </row>
    <row r="543" spans="1:19" ht="15.75" thickBot="1" x14ac:dyDescent="0.3">
      <c r="A543" s="77"/>
      <c r="B543" s="78" t="s">
        <v>98</v>
      </c>
      <c r="C543" s="79" t="s">
        <v>29</v>
      </c>
      <c r="D543" s="80">
        <v>0.12</v>
      </c>
      <c r="E543" s="192">
        <v>133000</v>
      </c>
      <c r="F543" s="189">
        <f>ROUND(D543*E543,)</f>
        <v>15960</v>
      </c>
      <c r="K543" s="37"/>
      <c r="L543" s="60"/>
      <c r="M543" s="37"/>
      <c r="N543" s="36"/>
      <c r="O543" s="37"/>
      <c r="P543" s="37"/>
      <c r="Q543" s="37"/>
      <c r="R543" s="37"/>
      <c r="S543" s="37"/>
    </row>
    <row r="544" spans="1:19" ht="15.75" thickBot="1" x14ac:dyDescent="0.3">
      <c r="A544" s="6"/>
      <c r="B544" s="36"/>
      <c r="C544" s="37"/>
      <c r="D544" s="38"/>
      <c r="E544" s="39" t="s">
        <v>20</v>
      </c>
      <c r="F544" s="187">
        <f>+F542+F543</f>
        <v>45600</v>
      </c>
      <c r="K544" s="37"/>
      <c r="L544" s="60"/>
      <c r="M544" s="37"/>
      <c r="N544" s="36"/>
      <c r="O544" s="37"/>
      <c r="P544" s="37"/>
      <c r="Q544" s="37"/>
      <c r="R544" s="37"/>
      <c r="S544" s="37"/>
    </row>
    <row r="545" spans="1:19" ht="15.75" thickBot="1" x14ac:dyDescent="0.3">
      <c r="A545" s="6"/>
      <c r="B545" s="36"/>
      <c r="C545" s="37"/>
      <c r="D545" s="38"/>
      <c r="E545" s="37"/>
      <c r="F545" s="7"/>
      <c r="K545" s="37"/>
      <c r="L545" s="60"/>
      <c r="M545" s="37"/>
      <c r="N545" s="36"/>
      <c r="O545" s="37"/>
      <c r="P545" s="37"/>
      <c r="Q545" s="37"/>
      <c r="R545" s="37"/>
      <c r="S545" s="37"/>
    </row>
    <row r="546" spans="1:19" ht="15.75" thickBot="1" x14ac:dyDescent="0.3">
      <c r="A546" s="1" t="s">
        <v>21</v>
      </c>
      <c r="B546" s="13"/>
      <c r="C546" s="14"/>
      <c r="D546" s="15"/>
      <c r="E546" s="14"/>
      <c r="F546" s="16"/>
      <c r="K546" s="37"/>
      <c r="L546" s="60"/>
      <c r="M546" s="37"/>
      <c r="N546" s="36"/>
      <c r="O546" s="37"/>
      <c r="P546" s="37"/>
      <c r="Q546" s="37"/>
      <c r="R546" s="37"/>
      <c r="S546" s="37"/>
    </row>
    <row r="547" spans="1:19" x14ac:dyDescent="0.25">
      <c r="A547" s="103"/>
      <c r="B547" s="96" t="s">
        <v>34</v>
      </c>
      <c r="C547" s="97" t="s">
        <v>35</v>
      </c>
      <c r="D547" s="20">
        <v>1.5</v>
      </c>
      <c r="E547" s="183">
        <v>1700</v>
      </c>
      <c r="F547" s="184">
        <f t="shared" ref="F547:F550" si="35">ROUND(D547*E547,)</f>
        <v>2550</v>
      </c>
      <c r="K547" s="37"/>
      <c r="L547" s="60"/>
      <c r="M547" s="37"/>
      <c r="N547" s="36"/>
      <c r="O547" s="37"/>
      <c r="P547" s="37"/>
      <c r="Q547" s="37"/>
      <c r="R547" s="37"/>
      <c r="S547" s="37"/>
    </row>
    <row r="548" spans="1:19" ht="30" x14ac:dyDescent="0.25">
      <c r="A548" s="122"/>
      <c r="B548" s="236" t="s">
        <v>209</v>
      </c>
      <c r="C548" s="237" t="s">
        <v>37</v>
      </c>
      <c r="D548" s="123">
        <v>0.8</v>
      </c>
      <c r="E548" s="182">
        <v>1200</v>
      </c>
      <c r="F548" s="185">
        <f t="shared" si="35"/>
        <v>960</v>
      </c>
      <c r="K548" s="37"/>
      <c r="L548" s="60"/>
      <c r="M548" s="37"/>
      <c r="N548" s="36"/>
      <c r="O548" s="37"/>
      <c r="P548" s="37"/>
      <c r="Q548" s="37"/>
      <c r="R548" s="37"/>
      <c r="S548" s="37"/>
    </row>
    <row r="549" spans="1:19" ht="16.5" customHeight="1" x14ac:dyDescent="0.25">
      <c r="A549" s="108"/>
      <c r="B549" s="85" t="s">
        <v>211</v>
      </c>
      <c r="C549" s="86" t="s">
        <v>40</v>
      </c>
      <c r="D549" s="83">
        <v>0.8</v>
      </c>
      <c r="E549" s="180">
        <v>1200</v>
      </c>
      <c r="F549" s="185">
        <f t="shared" si="35"/>
        <v>960</v>
      </c>
      <c r="K549" s="37"/>
      <c r="L549" s="60"/>
      <c r="M549" s="37"/>
      <c r="N549" s="36"/>
      <c r="O549" s="37"/>
      <c r="P549" s="37"/>
      <c r="Q549" s="37"/>
      <c r="R549" s="37"/>
      <c r="S549" s="37"/>
    </row>
    <row r="550" spans="1:19" ht="15.75" thickBot="1" x14ac:dyDescent="0.3">
      <c r="A550" s="23"/>
      <c r="B550" s="24" t="s">
        <v>36</v>
      </c>
      <c r="C550" s="25" t="s">
        <v>37</v>
      </c>
      <c r="D550" s="26">
        <v>0.8</v>
      </c>
      <c r="E550" s="181">
        <v>120</v>
      </c>
      <c r="F550" s="186">
        <f t="shared" si="35"/>
        <v>96</v>
      </c>
      <c r="K550" s="37"/>
      <c r="L550" s="60"/>
      <c r="M550" s="37"/>
      <c r="N550" s="36"/>
      <c r="O550" s="37"/>
      <c r="P550" s="37"/>
      <c r="Q550" s="37"/>
      <c r="R550" s="37"/>
      <c r="S550" s="37"/>
    </row>
    <row r="551" spans="1:19" ht="15.75" thickBot="1" x14ac:dyDescent="0.3">
      <c r="A551" s="6"/>
      <c r="B551" s="36"/>
      <c r="C551" s="37"/>
      <c r="D551" s="38"/>
      <c r="E551" s="39" t="s">
        <v>22</v>
      </c>
      <c r="F551" s="187">
        <f>SUM(F547:F550)</f>
        <v>4566</v>
      </c>
      <c r="K551" s="37"/>
      <c r="L551" s="60"/>
      <c r="M551" s="37"/>
      <c r="N551" s="36"/>
      <c r="O551" s="37"/>
      <c r="P551" s="37"/>
      <c r="Q551" s="37"/>
      <c r="R551" s="37"/>
      <c r="S551" s="37"/>
    </row>
    <row r="552" spans="1:19" ht="15.75" thickBot="1" x14ac:dyDescent="0.3">
      <c r="A552" s="6"/>
      <c r="B552" s="36"/>
      <c r="C552" s="37"/>
      <c r="D552" s="38"/>
      <c r="E552" s="37"/>
      <c r="F552" s="7"/>
      <c r="K552" s="37"/>
      <c r="L552" s="60"/>
      <c r="M552" s="37"/>
      <c r="N552" s="36"/>
      <c r="O552" s="37"/>
      <c r="P552" s="37"/>
      <c r="Q552" s="37"/>
      <c r="R552" s="37"/>
      <c r="S552" s="37"/>
    </row>
    <row r="553" spans="1:19" x14ac:dyDescent="0.25">
      <c r="A553" s="1" t="s">
        <v>23</v>
      </c>
      <c r="B553" s="13"/>
      <c r="C553" s="14"/>
      <c r="D553" s="15"/>
      <c r="E553" s="14"/>
      <c r="F553" s="16"/>
      <c r="K553" s="37"/>
      <c r="L553" s="60"/>
      <c r="M553" s="37"/>
      <c r="N553" s="36"/>
      <c r="O553" s="37"/>
      <c r="P553" s="37"/>
      <c r="Q553" s="37"/>
      <c r="R553" s="37"/>
      <c r="S553" s="37"/>
    </row>
    <row r="554" spans="1:19" ht="18.75" customHeight="1" x14ac:dyDescent="0.25">
      <c r="A554" s="91"/>
      <c r="B554" s="239" t="s">
        <v>219</v>
      </c>
      <c r="C554" s="86" t="s">
        <v>26</v>
      </c>
      <c r="D554" s="83">
        <f>0.3359*2</f>
        <v>0.67179999999999995</v>
      </c>
      <c r="E554" s="180">
        <v>40900</v>
      </c>
      <c r="F554" s="185">
        <f t="shared" ref="F554:F562" si="36">ROUND(D554*E554,)</f>
        <v>27477</v>
      </c>
      <c r="H554" s="37"/>
      <c r="I554" s="117"/>
      <c r="J554" s="61"/>
      <c r="K554" s="58"/>
      <c r="L554" s="242"/>
      <c r="M554" s="37"/>
      <c r="N554" s="36"/>
      <c r="O554" s="37"/>
      <c r="P554" s="37"/>
      <c r="Q554" s="37"/>
      <c r="R554" s="37"/>
      <c r="S554" s="37"/>
    </row>
    <row r="555" spans="1:19" x14ac:dyDescent="0.25">
      <c r="A555" s="91"/>
      <c r="B555" s="239" t="s">
        <v>41</v>
      </c>
      <c r="C555" s="86" t="s">
        <v>42</v>
      </c>
      <c r="D555" s="83">
        <v>0.04</v>
      </c>
      <c r="E555" s="180">
        <v>77980</v>
      </c>
      <c r="F555" s="185">
        <f t="shared" si="36"/>
        <v>3119</v>
      </c>
      <c r="H555" s="37"/>
      <c r="I555" s="117"/>
      <c r="J555" s="61"/>
      <c r="K555" s="75"/>
      <c r="L555" s="242"/>
      <c r="M555" s="37"/>
      <c r="N555" s="36"/>
      <c r="O555" s="37"/>
      <c r="P555" s="37"/>
      <c r="Q555" s="37"/>
      <c r="R555" s="37"/>
      <c r="S555" s="37"/>
    </row>
    <row r="556" spans="1:19" ht="30" x14ac:dyDescent="0.25">
      <c r="A556" s="91"/>
      <c r="B556" s="239" t="s">
        <v>215</v>
      </c>
      <c r="C556" s="86" t="s">
        <v>40</v>
      </c>
      <c r="D556" s="83">
        <v>0.45</v>
      </c>
      <c r="E556" s="180">
        <v>5682.5</v>
      </c>
      <c r="F556" s="185">
        <f t="shared" si="36"/>
        <v>2557</v>
      </c>
      <c r="H556" s="37"/>
      <c r="I556" s="117"/>
      <c r="J556" s="61"/>
      <c r="K556" s="75"/>
      <c r="L556" s="242"/>
      <c r="M556" s="37"/>
      <c r="N556" s="36"/>
      <c r="O556" s="37"/>
      <c r="P556" s="37"/>
      <c r="Q556" s="37"/>
      <c r="R556" s="37"/>
      <c r="S556" s="37"/>
    </row>
    <row r="557" spans="1:19" x14ac:dyDescent="0.25">
      <c r="A557" s="91"/>
      <c r="B557" s="239" t="s">
        <v>216</v>
      </c>
      <c r="C557" s="86" t="s">
        <v>40</v>
      </c>
      <c r="D557" s="83">
        <v>3</v>
      </c>
      <c r="E557" s="180">
        <v>222</v>
      </c>
      <c r="F557" s="185">
        <f t="shared" si="36"/>
        <v>666</v>
      </c>
      <c r="H557" s="37"/>
      <c r="I557" s="117"/>
      <c r="J557" s="61"/>
      <c r="K557" s="75"/>
      <c r="L557" s="242"/>
      <c r="M557" s="37"/>
      <c r="N557" s="36"/>
      <c r="O557" s="37"/>
      <c r="P557" s="37"/>
      <c r="Q557" s="37"/>
      <c r="R557" s="37"/>
      <c r="S557" s="37"/>
    </row>
    <row r="558" spans="1:19" ht="30" x14ac:dyDescent="0.25">
      <c r="A558" s="91"/>
      <c r="B558" s="239" t="s">
        <v>120</v>
      </c>
      <c r="C558" s="86" t="s">
        <v>40</v>
      </c>
      <c r="D558" s="83">
        <v>2</v>
      </c>
      <c r="E558" s="180">
        <v>48.9</v>
      </c>
      <c r="F558" s="185">
        <f t="shared" si="36"/>
        <v>98</v>
      </c>
      <c r="H558" s="37"/>
      <c r="I558" s="117"/>
      <c r="J558" s="61"/>
      <c r="K558" s="75"/>
      <c r="L558" s="242"/>
      <c r="M558" s="37"/>
      <c r="N558" s="36"/>
      <c r="O558" s="37"/>
      <c r="P558" s="37"/>
      <c r="Q558" s="37"/>
      <c r="R558" s="37"/>
      <c r="S558" s="37"/>
    </row>
    <row r="559" spans="1:19" ht="30" x14ac:dyDescent="0.25">
      <c r="A559" s="91"/>
      <c r="B559" s="239" t="s">
        <v>119</v>
      </c>
      <c r="C559" s="86" t="s">
        <v>40</v>
      </c>
      <c r="D559" s="83">
        <v>1.25</v>
      </c>
      <c r="E559" s="180">
        <v>5200</v>
      </c>
      <c r="F559" s="185">
        <f t="shared" si="36"/>
        <v>6500</v>
      </c>
      <c r="H559" s="37"/>
      <c r="I559" s="117"/>
      <c r="J559" s="61"/>
      <c r="K559" s="75"/>
      <c r="L559" s="242"/>
      <c r="M559" s="37"/>
      <c r="N559" s="36"/>
      <c r="O559" s="37"/>
      <c r="P559" s="37"/>
      <c r="Q559" s="37"/>
      <c r="R559" s="37"/>
      <c r="S559" s="37"/>
    </row>
    <row r="560" spans="1:19" ht="33" customHeight="1" x14ac:dyDescent="0.25">
      <c r="A560" s="91"/>
      <c r="B560" s="239" t="s">
        <v>44</v>
      </c>
      <c r="C560" s="86" t="s">
        <v>45</v>
      </c>
      <c r="D560" s="83">
        <v>0.3</v>
      </c>
      <c r="E560" s="180">
        <v>12900</v>
      </c>
      <c r="F560" s="185">
        <f t="shared" si="36"/>
        <v>3870</v>
      </c>
      <c r="H560" s="37"/>
      <c r="I560" s="117"/>
      <c r="J560" s="61"/>
      <c r="K560" s="75"/>
      <c r="L560" s="242"/>
      <c r="M560" s="37"/>
      <c r="N560" s="36"/>
      <c r="O560" s="37"/>
      <c r="P560" s="37"/>
      <c r="Q560" s="37"/>
      <c r="R560" s="37"/>
      <c r="S560" s="37"/>
    </row>
    <row r="561" spans="1:19" x14ac:dyDescent="0.25">
      <c r="A561" s="91"/>
      <c r="B561" s="239" t="s">
        <v>46</v>
      </c>
      <c r="C561" s="86" t="s">
        <v>40</v>
      </c>
      <c r="D561" s="83">
        <v>1</v>
      </c>
      <c r="E561" s="180">
        <v>1900</v>
      </c>
      <c r="F561" s="185">
        <f t="shared" si="36"/>
        <v>1900</v>
      </c>
      <c r="H561" s="37"/>
      <c r="I561" s="117"/>
      <c r="J561" s="61"/>
      <c r="K561" s="75"/>
      <c r="L561" s="242"/>
      <c r="M561" s="37"/>
      <c r="N561" s="36"/>
      <c r="O561" s="37"/>
      <c r="P561" s="37"/>
      <c r="Q561" s="37"/>
      <c r="R561" s="37"/>
      <c r="S561" s="37"/>
    </row>
    <row r="562" spans="1:19" ht="27.75" customHeight="1" thickBot="1" x14ac:dyDescent="0.3">
      <c r="A562" s="30"/>
      <c r="B562" s="240" t="s">
        <v>222</v>
      </c>
      <c r="C562" s="25" t="s">
        <v>42</v>
      </c>
      <c r="D562" s="26">
        <v>0.12</v>
      </c>
      <c r="E562" s="181">
        <v>55700</v>
      </c>
      <c r="F562" s="186">
        <f t="shared" si="36"/>
        <v>6684</v>
      </c>
      <c r="H562" s="37"/>
      <c r="I562" s="50"/>
      <c r="J562" s="61"/>
      <c r="K562" s="75"/>
      <c r="L562" s="242"/>
      <c r="M562" s="37"/>
      <c r="N562" s="36"/>
      <c r="O562" s="37"/>
      <c r="P562" s="37"/>
      <c r="Q562" s="37"/>
      <c r="R562" s="37"/>
      <c r="S562" s="37"/>
    </row>
    <row r="563" spans="1:19" ht="15.75" thickBot="1" x14ac:dyDescent="0.3">
      <c r="A563" s="63"/>
      <c r="B563" s="2"/>
      <c r="C563" s="3"/>
      <c r="D563" s="4"/>
      <c r="E563" s="199" t="s">
        <v>24</v>
      </c>
      <c r="F563" s="190">
        <f>SUM(F554:F562)</f>
        <v>52871</v>
      </c>
      <c r="H563" s="37"/>
      <c r="I563" s="37"/>
      <c r="J563" s="37"/>
      <c r="K563" s="37"/>
      <c r="L563" s="60"/>
      <c r="M563" s="37"/>
      <c r="N563" s="143"/>
      <c r="O563" s="37"/>
      <c r="P563" s="37"/>
      <c r="Q563" s="37"/>
      <c r="R563" s="37"/>
      <c r="S563" s="37"/>
    </row>
    <row r="564" spans="1:19" ht="15.75" thickBot="1" x14ac:dyDescent="0.3">
      <c r="A564" s="63"/>
      <c r="B564" s="2"/>
      <c r="C564" s="3"/>
      <c r="D564" s="4"/>
      <c r="E564" s="14"/>
      <c r="F564" s="160"/>
      <c r="H564" s="37"/>
      <c r="I564" s="37"/>
      <c r="J564" s="37"/>
      <c r="K564" s="37"/>
      <c r="L564" s="60"/>
      <c r="M564" s="37"/>
      <c r="N564" s="143"/>
      <c r="O564" s="37"/>
      <c r="P564" s="37"/>
      <c r="Q564" s="37"/>
      <c r="R564" s="37"/>
      <c r="S564" s="37"/>
    </row>
    <row r="565" spans="1:19" ht="15.75" thickBot="1" x14ac:dyDescent="0.3">
      <c r="A565" s="69" t="s">
        <v>12</v>
      </c>
      <c r="B565" s="64" t="s">
        <v>25</v>
      </c>
      <c r="C565" s="65"/>
      <c r="D565" s="66"/>
      <c r="E565" s="67"/>
      <c r="F565" s="351">
        <f>+F563+F551+F544</f>
        <v>103037</v>
      </c>
      <c r="H565" s="126"/>
      <c r="K565" s="37"/>
      <c r="L565" s="60"/>
      <c r="M565" s="37"/>
      <c r="N565" s="36"/>
      <c r="O565" s="37"/>
      <c r="P565" s="37"/>
      <c r="Q565" s="37"/>
      <c r="R565" s="37"/>
      <c r="S565" s="37"/>
    </row>
    <row r="566" spans="1:19" ht="15.75" thickBot="1" x14ac:dyDescent="0.3">
      <c r="A566" s="37"/>
      <c r="B566" s="36"/>
      <c r="C566" s="37"/>
      <c r="D566" s="37"/>
      <c r="E566" s="39"/>
      <c r="F566" s="59"/>
      <c r="K566" s="37"/>
      <c r="L566" s="60"/>
      <c r="M566" s="39"/>
      <c r="N566" s="53"/>
      <c r="O566" s="39"/>
      <c r="P566" s="39"/>
      <c r="Q566" s="39"/>
      <c r="R566" s="39"/>
      <c r="S566" s="37"/>
    </row>
    <row r="567" spans="1:19" ht="35.25" customHeight="1" x14ac:dyDescent="0.25">
      <c r="A567" s="1" t="s">
        <v>47</v>
      </c>
      <c r="B567" s="355" t="s">
        <v>188</v>
      </c>
      <c r="C567" s="355"/>
      <c r="D567" s="355"/>
      <c r="E567" s="3"/>
      <c r="F567" s="5" t="s">
        <v>15</v>
      </c>
      <c r="K567" s="37"/>
      <c r="L567" s="60"/>
      <c r="M567" s="39"/>
      <c r="N567" s="53"/>
      <c r="O567" s="39"/>
      <c r="P567" s="39"/>
      <c r="Q567" s="39"/>
      <c r="R567" s="39"/>
      <c r="S567" s="37"/>
    </row>
    <row r="568" spans="1:19" ht="15.75" thickBot="1" x14ac:dyDescent="0.3">
      <c r="A568" s="70" t="s">
        <v>9</v>
      </c>
      <c r="B568" s="71">
        <v>2.9</v>
      </c>
      <c r="C568" s="10"/>
      <c r="D568" s="11"/>
      <c r="E568" s="10"/>
      <c r="F568" s="72" t="s">
        <v>26</v>
      </c>
      <c r="K568" s="37"/>
      <c r="L568" s="60"/>
      <c r="M568" s="39"/>
      <c r="N568" s="53"/>
      <c r="O568" s="39"/>
      <c r="P568" s="39"/>
      <c r="Q568" s="39"/>
      <c r="R568" s="39"/>
      <c r="S568" s="37"/>
    </row>
    <row r="569" spans="1:19" ht="15.75" thickBot="1" x14ac:dyDescent="0.3">
      <c r="A569" s="6"/>
      <c r="B569" s="36"/>
      <c r="C569" s="37"/>
      <c r="D569" s="38"/>
      <c r="E569" s="37"/>
      <c r="F569" s="7"/>
      <c r="K569" s="37"/>
      <c r="L569" s="60"/>
      <c r="M569" s="39"/>
      <c r="N569" s="53"/>
      <c r="O569" s="39"/>
      <c r="P569" s="39"/>
      <c r="Q569" s="39"/>
      <c r="R569" s="39"/>
      <c r="S569" s="37"/>
    </row>
    <row r="570" spans="1:19" ht="15.75" thickBot="1" x14ac:dyDescent="0.3">
      <c r="A570" s="33" t="s">
        <v>179</v>
      </c>
      <c r="B570" s="40" t="s">
        <v>47</v>
      </c>
      <c r="C570" s="34" t="s">
        <v>15</v>
      </c>
      <c r="D570" s="35" t="s">
        <v>16</v>
      </c>
      <c r="E570" s="34" t="s">
        <v>17</v>
      </c>
      <c r="F570" s="41" t="s">
        <v>18</v>
      </c>
      <c r="K570" s="37"/>
      <c r="L570" s="60"/>
      <c r="M570" s="39"/>
      <c r="N570" s="53"/>
      <c r="O570" s="39"/>
      <c r="P570" s="39"/>
      <c r="Q570" s="39"/>
      <c r="R570" s="39"/>
      <c r="S570" s="37"/>
    </row>
    <row r="571" spans="1:19" ht="15.75" thickBot="1" x14ac:dyDescent="0.3">
      <c r="A571" s="6"/>
      <c r="B571" s="36"/>
      <c r="C571" s="37"/>
      <c r="D571" s="38"/>
      <c r="E571" s="37"/>
      <c r="F571" s="7"/>
      <c r="K571" s="37"/>
      <c r="L571" s="60"/>
      <c r="M571" s="39"/>
      <c r="N571" s="53"/>
      <c r="O571" s="39"/>
      <c r="P571" s="39"/>
      <c r="Q571" s="39"/>
      <c r="R571" s="39"/>
      <c r="S571" s="37"/>
    </row>
    <row r="572" spans="1:19" ht="15.75" thickBot="1" x14ac:dyDescent="0.3">
      <c r="A572" s="1" t="s">
        <v>19</v>
      </c>
      <c r="B572" s="13"/>
      <c r="C572" s="14"/>
      <c r="D572" s="15"/>
      <c r="E572" s="14"/>
      <c r="F572" s="16"/>
      <c r="K572" s="37"/>
      <c r="L572" s="60"/>
      <c r="M572" s="39"/>
      <c r="N572" s="53"/>
      <c r="O572" s="39"/>
      <c r="P572" s="39"/>
      <c r="Q572" s="39"/>
      <c r="R572" s="39"/>
      <c r="S572" s="37"/>
    </row>
    <row r="573" spans="1:19" ht="29.25" customHeight="1" x14ac:dyDescent="0.25">
      <c r="A573" s="95"/>
      <c r="B573" s="96" t="s">
        <v>30</v>
      </c>
      <c r="C573" s="97" t="s">
        <v>29</v>
      </c>
      <c r="D573" s="20">
        <v>0.06</v>
      </c>
      <c r="E573" s="183">
        <v>164667</v>
      </c>
      <c r="F573" s="184">
        <f>ROUND(D573*E573,)</f>
        <v>9880</v>
      </c>
      <c r="K573" s="37"/>
      <c r="L573" s="60"/>
      <c r="M573" s="39"/>
      <c r="N573" s="53"/>
      <c r="O573" s="39"/>
      <c r="P573" s="39"/>
      <c r="Q573" s="39"/>
      <c r="R573" s="39"/>
      <c r="S573" s="37"/>
    </row>
    <row r="574" spans="1:19" ht="21.75" customHeight="1" thickBot="1" x14ac:dyDescent="0.3">
      <c r="A574" s="77"/>
      <c r="B574" s="78" t="s">
        <v>98</v>
      </c>
      <c r="C574" s="79" t="s">
        <v>29</v>
      </c>
      <c r="D574" s="80">
        <v>0.13</v>
      </c>
      <c r="E574" s="192">
        <v>133000</v>
      </c>
      <c r="F574" s="189">
        <f>ROUND(D574*E574,)</f>
        <v>17290</v>
      </c>
      <c r="K574" s="37"/>
      <c r="L574" s="60"/>
      <c r="M574" s="39"/>
      <c r="N574" s="53"/>
      <c r="O574" s="39"/>
      <c r="P574" s="39"/>
      <c r="Q574" s="39"/>
      <c r="R574" s="39"/>
      <c r="S574" s="37"/>
    </row>
    <row r="575" spans="1:19" ht="15.75" thickBot="1" x14ac:dyDescent="0.3">
      <c r="A575" s="6"/>
      <c r="B575" s="36"/>
      <c r="C575" s="37"/>
      <c r="D575" s="38"/>
      <c r="E575" s="39" t="s">
        <v>20</v>
      </c>
      <c r="F575" s="187">
        <f>+F573+F574</f>
        <v>27170</v>
      </c>
      <c r="K575" s="37"/>
      <c r="L575" s="60"/>
      <c r="M575" s="39"/>
      <c r="N575" s="53"/>
      <c r="O575" s="39"/>
      <c r="P575" s="39"/>
      <c r="Q575" s="39"/>
      <c r="R575" s="39"/>
      <c r="S575" s="37"/>
    </row>
    <row r="576" spans="1:19" ht="15.75" thickBot="1" x14ac:dyDescent="0.3">
      <c r="A576" s="6"/>
      <c r="B576" s="36"/>
      <c r="C576" s="37"/>
      <c r="D576" s="38"/>
      <c r="E576" s="37"/>
      <c r="F576" s="7"/>
      <c r="K576" s="37"/>
      <c r="L576" s="60"/>
      <c r="M576" s="39"/>
      <c r="N576" s="53"/>
      <c r="O576" s="39"/>
      <c r="P576" s="39"/>
      <c r="Q576" s="39"/>
      <c r="R576" s="39"/>
      <c r="S576" s="37"/>
    </row>
    <row r="577" spans="1:19" ht="15.75" thickBot="1" x14ac:dyDescent="0.3">
      <c r="A577" s="44" t="s">
        <v>21</v>
      </c>
      <c r="B577" s="45"/>
      <c r="C577" s="46"/>
      <c r="D577" s="47"/>
      <c r="E577" s="46"/>
      <c r="F577" s="48"/>
      <c r="K577" s="37"/>
      <c r="L577" s="60"/>
      <c r="M577" s="39"/>
      <c r="N577" s="53"/>
      <c r="O577" s="39"/>
      <c r="P577" s="39"/>
      <c r="Q577" s="39"/>
      <c r="R577" s="39"/>
      <c r="S577" s="37"/>
    </row>
    <row r="578" spans="1:19" x14ac:dyDescent="0.25">
      <c r="A578" s="122"/>
      <c r="B578" s="87"/>
      <c r="C578" s="88"/>
      <c r="D578" s="123"/>
      <c r="E578" s="90"/>
      <c r="F578" s="124">
        <f t="shared" ref="F578:F580" si="37">ROUND(D578*E578,)</f>
        <v>0</v>
      </c>
      <c r="K578" s="37"/>
      <c r="L578" s="60"/>
      <c r="M578" s="39"/>
      <c r="N578" s="53"/>
      <c r="O578" s="39"/>
      <c r="P578" s="39"/>
      <c r="Q578" s="39"/>
      <c r="R578" s="39"/>
      <c r="S578" s="37"/>
    </row>
    <row r="579" spans="1:19" x14ac:dyDescent="0.25">
      <c r="A579" s="108"/>
      <c r="B579" s="87"/>
      <c r="C579" s="88"/>
      <c r="D579" s="115"/>
      <c r="E579" s="84"/>
      <c r="F579" s="121">
        <f t="shared" si="37"/>
        <v>0</v>
      </c>
      <c r="K579" s="37"/>
      <c r="L579" s="60"/>
      <c r="M579" s="39"/>
      <c r="N579" s="53"/>
      <c r="O579" s="39"/>
      <c r="P579" s="39"/>
      <c r="Q579" s="39"/>
      <c r="R579" s="39"/>
      <c r="S579" s="37"/>
    </row>
    <row r="580" spans="1:19" ht="15.75" thickBot="1" x14ac:dyDescent="0.3">
      <c r="A580" s="23"/>
      <c r="B580" s="24"/>
      <c r="C580" s="25"/>
      <c r="D580" s="26"/>
      <c r="E580" s="81"/>
      <c r="F580" s="28">
        <f t="shared" si="37"/>
        <v>0</v>
      </c>
      <c r="K580" s="37"/>
      <c r="L580" s="60"/>
      <c r="M580" s="39"/>
      <c r="N580" s="53"/>
      <c r="O580" s="39"/>
      <c r="P580" s="39"/>
      <c r="Q580" s="39"/>
      <c r="R580" s="39"/>
      <c r="S580" s="37"/>
    </row>
    <row r="581" spans="1:19" ht="15.75" thickBot="1" x14ac:dyDescent="0.3">
      <c r="A581" s="6"/>
      <c r="B581" s="36"/>
      <c r="C581" s="37"/>
      <c r="D581" s="38"/>
      <c r="E581" s="39" t="s">
        <v>22</v>
      </c>
      <c r="F581" s="29">
        <f>SUM(F578:F580)</f>
        <v>0</v>
      </c>
      <c r="K581" s="37"/>
      <c r="L581" s="60"/>
      <c r="M581" s="39"/>
      <c r="N581" s="53"/>
      <c r="O581" s="39"/>
      <c r="P581" s="39"/>
      <c r="Q581" s="39"/>
      <c r="R581" s="39"/>
      <c r="S581" s="37"/>
    </row>
    <row r="582" spans="1:19" ht="15.75" thickBot="1" x14ac:dyDescent="0.3">
      <c r="A582" s="6"/>
      <c r="B582" s="36"/>
      <c r="C582" s="37"/>
      <c r="D582" s="38"/>
      <c r="E582" s="37"/>
      <c r="F582" s="7"/>
      <c r="K582" s="37"/>
      <c r="L582" s="60"/>
      <c r="M582" s="39"/>
      <c r="N582" s="53"/>
      <c r="O582" s="39"/>
      <c r="P582" s="39"/>
      <c r="Q582" s="39"/>
      <c r="R582" s="39"/>
      <c r="S582" s="37"/>
    </row>
    <row r="583" spans="1:19" ht="15.75" thickBot="1" x14ac:dyDescent="0.3">
      <c r="A583" s="44" t="s">
        <v>23</v>
      </c>
      <c r="B583" s="45"/>
      <c r="C583" s="46"/>
      <c r="D583" s="47"/>
      <c r="E583" s="46"/>
      <c r="F583" s="48"/>
      <c r="K583" s="37"/>
      <c r="L583" s="60"/>
      <c r="M583" s="39"/>
      <c r="N583" s="53"/>
      <c r="O583" s="39"/>
      <c r="P583" s="39"/>
      <c r="Q583" s="39"/>
      <c r="R583" s="39"/>
      <c r="S583" s="37"/>
    </row>
    <row r="584" spans="1:19" x14ac:dyDescent="0.25">
      <c r="A584" s="92"/>
      <c r="B584" s="87" t="s">
        <v>72</v>
      </c>
      <c r="C584" s="88" t="s">
        <v>128</v>
      </c>
      <c r="D584" s="89">
        <v>0.16</v>
      </c>
      <c r="E584" s="200">
        <v>72900</v>
      </c>
      <c r="F584" s="188">
        <f>ROUND(D584*E584,)</f>
        <v>11664</v>
      </c>
      <c r="K584" s="37"/>
      <c r="L584" s="60"/>
      <c r="M584" s="39"/>
      <c r="N584" s="53"/>
      <c r="O584" s="39"/>
      <c r="P584" s="39"/>
      <c r="Q584" s="39"/>
      <c r="R584" s="39"/>
      <c r="S584" s="37"/>
    </row>
    <row r="585" spans="1:19" ht="30" x14ac:dyDescent="0.25">
      <c r="A585" s="92"/>
      <c r="B585" s="87" t="s">
        <v>107</v>
      </c>
      <c r="C585" s="88" t="s">
        <v>26</v>
      </c>
      <c r="D585" s="89">
        <v>1</v>
      </c>
      <c r="E585" s="182">
        <v>20883</v>
      </c>
      <c r="F585" s="188">
        <f>ROUND(D585*E585,)</f>
        <v>20883</v>
      </c>
      <c r="K585" s="37"/>
      <c r="L585" s="60"/>
      <c r="M585" s="39"/>
      <c r="N585" s="53"/>
      <c r="O585" s="39"/>
      <c r="P585" s="39"/>
      <c r="Q585" s="39"/>
      <c r="R585" s="39"/>
      <c r="S585" s="37"/>
    </row>
    <row r="586" spans="1:19" x14ac:dyDescent="0.25">
      <c r="A586" s="91"/>
      <c r="B586" s="87" t="s">
        <v>129</v>
      </c>
      <c r="C586" s="88" t="s">
        <v>49</v>
      </c>
      <c r="D586" s="89">
        <v>0.5</v>
      </c>
      <c r="E586" s="182">
        <v>8990</v>
      </c>
      <c r="F586" s="188">
        <f>ROUND(D586*E586,)</f>
        <v>4495</v>
      </c>
      <c r="K586" s="37"/>
      <c r="L586" s="284"/>
      <c r="M586" s="39"/>
      <c r="N586" s="53"/>
      <c r="O586" s="39"/>
      <c r="P586" s="39"/>
      <c r="Q586" s="39"/>
      <c r="R586" s="39"/>
      <c r="S586" s="37"/>
    </row>
    <row r="587" spans="1:19" x14ac:dyDescent="0.25">
      <c r="A587" s="91"/>
      <c r="B587" s="43"/>
      <c r="C587" s="82"/>
      <c r="D587" s="83"/>
      <c r="E587" s="180"/>
      <c r="F587" s="185">
        <f t="shared" ref="F587" si="38">ROUND(D587*E587,)</f>
        <v>0</v>
      </c>
      <c r="K587" s="37"/>
      <c r="L587" s="60"/>
      <c r="M587" s="39"/>
      <c r="N587" s="53"/>
      <c r="O587" s="39"/>
      <c r="P587" s="39"/>
      <c r="Q587" s="39"/>
      <c r="R587" s="39"/>
      <c r="S587" s="37"/>
    </row>
    <row r="588" spans="1:19" ht="15.75" thickBot="1" x14ac:dyDescent="0.3">
      <c r="A588" s="30"/>
      <c r="B588" s="31"/>
      <c r="C588" s="32"/>
      <c r="D588" s="26"/>
      <c r="E588" s="181"/>
      <c r="F588" s="186"/>
      <c r="K588" s="37"/>
      <c r="L588" s="60"/>
      <c r="M588" s="39"/>
      <c r="N588" s="53"/>
      <c r="O588" s="39"/>
      <c r="P588" s="39"/>
      <c r="Q588" s="39"/>
      <c r="R588" s="39"/>
      <c r="S588" s="37"/>
    </row>
    <row r="589" spans="1:19" ht="15.75" thickBot="1" x14ac:dyDescent="0.3">
      <c r="A589" s="6"/>
      <c r="B589" s="36"/>
      <c r="C589" s="37"/>
      <c r="D589" s="38"/>
      <c r="E589" s="39" t="s">
        <v>24</v>
      </c>
      <c r="F589" s="187">
        <f>SUM(F584:F588)</f>
        <v>37042</v>
      </c>
      <c r="K589" s="37"/>
      <c r="L589" s="60"/>
      <c r="M589" s="39"/>
      <c r="N589" s="53"/>
      <c r="O589" s="39"/>
      <c r="P589" s="39"/>
      <c r="Q589" s="39"/>
      <c r="R589" s="39"/>
      <c r="S589" s="37"/>
    </row>
    <row r="590" spans="1:19" ht="15.75" thickBot="1" x14ac:dyDescent="0.3">
      <c r="A590" s="6"/>
      <c r="B590" s="36"/>
      <c r="C590" s="37"/>
      <c r="D590" s="38"/>
      <c r="E590" s="39"/>
      <c r="F590" s="144"/>
      <c r="K590" s="37"/>
      <c r="L590" s="60"/>
      <c r="M590" s="39"/>
      <c r="N590" s="53"/>
      <c r="O590" s="39"/>
      <c r="P590" s="39"/>
      <c r="Q590" s="39"/>
      <c r="R590" s="39"/>
      <c r="S590" s="37"/>
    </row>
    <row r="591" spans="1:19" ht="15.75" thickBot="1" x14ac:dyDescent="0.3">
      <c r="A591" s="69" t="s">
        <v>12</v>
      </c>
      <c r="B591" s="64" t="s">
        <v>25</v>
      </c>
      <c r="C591" s="65"/>
      <c r="D591" s="66"/>
      <c r="E591" s="67"/>
      <c r="F591" s="351">
        <f>+F589+F581+F575</f>
        <v>64212</v>
      </c>
      <c r="H591" s="126"/>
      <c r="K591" s="37"/>
      <c r="L591" s="60"/>
      <c r="M591" s="39"/>
      <c r="N591" s="53"/>
      <c r="O591" s="39"/>
      <c r="P591" s="39"/>
      <c r="Q591" s="39"/>
      <c r="R591" s="39"/>
      <c r="S591" s="37"/>
    </row>
    <row r="592" spans="1:19" ht="15.75" thickBot="1" x14ac:dyDescent="0.3">
      <c r="A592" s="37"/>
      <c r="B592" s="36"/>
      <c r="C592" s="37"/>
      <c r="D592" s="37"/>
      <c r="E592" s="39"/>
      <c r="F592" s="59"/>
      <c r="K592" s="37"/>
      <c r="L592" s="60"/>
      <c r="M592" s="39"/>
      <c r="N592" s="53"/>
      <c r="O592" s="39"/>
      <c r="P592" s="39"/>
      <c r="Q592" s="39"/>
      <c r="R592" s="39"/>
      <c r="S592" s="37"/>
    </row>
    <row r="593" spans="1:19" ht="18" customHeight="1" x14ac:dyDescent="0.25">
      <c r="A593" s="1" t="s">
        <v>47</v>
      </c>
      <c r="B593" s="355" t="s">
        <v>60</v>
      </c>
      <c r="C593" s="355"/>
      <c r="D593" s="355"/>
      <c r="E593" s="3"/>
      <c r="F593" s="5" t="s">
        <v>15</v>
      </c>
      <c r="K593" s="37"/>
      <c r="L593" s="60"/>
      <c r="M593" s="39"/>
      <c r="N593" s="36"/>
      <c r="O593" s="37"/>
      <c r="P593" s="37"/>
      <c r="Q593" s="37"/>
      <c r="R593" s="49"/>
      <c r="S593" s="37"/>
    </row>
    <row r="594" spans="1:19" ht="15.75" thickBot="1" x14ac:dyDescent="0.3">
      <c r="A594" s="70" t="s">
        <v>9</v>
      </c>
      <c r="B594" s="268">
        <v>2.1</v>
      </c>
      <c r="C594" s="10"/>
      <c r="D594" s="11"/>
      <c r="E594" s="10"/>
      <c r="F594" s="72" t="s">
        <v>26</v>
      </c>
      <c r="K594" s="37"/>
      <c r="L594" s="60"/>
      <c r="M594" s="37"/>
      <c r="N594" s="359"/>
      <c r="O594" s="359"/>
      <c r="P594" s="359"/>
      <c r="Q594" s="37"/>
      <c r="R594" s="57"/>
      <c r="S594" s="37"/>
    </row>
    <row r="595" spans="1:19" ht="15.75" thickBot="1" x14ac:dyDescent="0.3">
      <c r="A595" s="6"/>
      <c r="B595" s="36"/>
      <c r="C595" s="37"/>
      <c r="D595" s="38"/>
      <c r="E595" s="37"/>
      <c r="F595" s="7"/>
      <c r="K595" s="37"/>
      <c r="L595" s="60"/>
      <c r="M595" s="37"/>
      <c r="N595" s="36"/>
      <c r="O595" s="37"/>
      <c r="P595" s="37"/>
      <c r="Q595" s="37"/>
      <c r="R595" s="37"/>
      <c r="S595" s="37"/>
    </row>
    <row r="596" spans="1:19" ht="15.75" thickBot="1" x14ac:dyDescent="0.3">
      <c r="A596" s="33" t="s">
        <v>179</v>
      </c>
      <c r="B596" s="40" t="s">
        <v>47</v>
      </c>
      <c r="C596" s="34" t="s">
        <v>15</v>
      </c>
      <c r="D596" s="35" t="s">
        <v>16</v>
      </c>
      <c r="E596" s="34" t="s">
        <v>17</v>
      </c>
      <c r="F596" s="41" t="s">
        <v>18</v>
      </c>
      <c r="K596" s="37"/>
      <c r="L596" s="60"/>
      <c r="M596" s="39"/>
      <c r="N596" s="117"/>
      <c r="O596" s="37"/>
      <c r="P596" s="37"/>
      <c r="Q596" s="37"/>
      <c r="R596" s="37"/>
      <c r="S596" s="37"/>
    </row>
    <row r="597" spans="1:19" ht="15.75" thickBot="1" x14ac:dyDescent="0.3">
      <c r="A597" s="6"/>
      <c r="B597" s="36"/>
      <c r="C597" s="37"/>
      <c r="D597" s="38"/>
      <c r="E597" s="37"/>
      <c r="F597" s="7"/>
      <c r="K597" s="37"/>
      <c r="L597" s="60"/>
      <c r="M597" s="37"/>
      <c r="N597" s="36"/>
      <c r="O597" s="37"/>
      <c r="P597" s="37"/>
      <c r="Q597" s="37"/>
      <c r="R597" s="37"/>
      <c r="S597" s="37"/>
    </row>
    <row r="598" spans="1:19" ht="15.75" thickBot="1" x14ac:dyDescent="0.3">
      <c r="A598" s="1" t="s">
        <v>19</v>
      </c>
      <c r="B598" s="13"/>
      <c r="C598" s="14"/>
      <c r="D598" s="15"/>
      <c r="E598" s="14"/>
      <c r="F598" s="16"/>
      <c r="K598" s="37"/>
      <c r="L598" s="60"/>
      <c r="M598" s="57"/>
      <c r="N598" s="74"/>
      <c r="O598" s="57"/>
      <c r="P598" s="57"/>
      <c r="Q598" s="57"/>
      <c r="R598" s="57"/>
      <c r="S598" s="37"/>
    </row>
    <row r="599" spans="1:19" ht="30" x14ac:dyDescent="0.25">
      <c r="A599" s="95"/>
      <c r="B599" s="96" t="s">
        <v>30</v>
      </c>
      <c r="C599" s="97" t="s">
        <v>29</v>
      </c>
      <c r="D599" s="20">
        <v>1.9E-2</v>
      </c>
      <c r="E599" s="183">
        <v>164667</v>
      </c>
      <c r="F599" s="184">
        <f>ROUND(D599*E599,)</f>
        <v>3129</v>
      </c>
      <c r="K599" s="37"/>
      <c r="L599" s="60"/>
      <c r="M599" s="37"/>
      <c r="N599" s="36"/>
      <c r="O599" s="37"/>
      <c r="P599" s="37"/>
      <c r="Q599" s="37"/>
      <c r="R599" s="37"/>
      <c r="S599" s="37"/>
    </row>
    <row r="600" spans="1:19" ht="15.75" thickBot="1" x14ac:dyDescent="0.3">
      <c r="A600" s="23"/>
      <c r="B600" s="78" t="s">
        <v>98</v>
      </c>
      <c r="C600" s="79" t="s">
        <v>29</v>
      </c>
      <c r="D600" s="80">
        <v>0.01</v>
      </c>
      <c r="E600" s="192">
        <v>133000</v>
      </c>
      <c r="F600" s="189">
        <f>ROUND(D600*E600,)</f>
        <v>1330</v>
      </c>
      <c r="K600" s="37"/>
      <c r="L600" s="60"/>
      <c r="M600" s="39"/>
      <c r="N600" s="53"/>
      <c r="O600" s="39"/>
      <c r="P600" s="39"/>
      <c r="Q600" s="39"/>
      <c r="R600" s="39"/>
      <c r="S600" s="37"/>
    </row>
    <row r="601" spans="1:19" ht="15.75" thickBot="1" x14ac:dyDescent="0.3">
      <c r="A601" s="6"/>
      <c r="B601" s="36"/>
      <c r="C601" s="37"/>
      <c r="D601" s="38"/>
      <c r="E601" s="201" t="s">
        <v>20</v>
      </c>
      <c r="F601" s="187">
        <f>+F599+F600</f>
        <v>4459</v>
      </c>
      <c r="K601" s="37"/>
      <c r="L601" s="60"/>
      <c r="M601" s="55"/>
      <c r="N601" s="56"/>
      <c r="O601" s="57"/>
      <c r="P601" s="75"/>
      <c r="Q601" s="59"/>
      <c r="R601" s="59"/>
      <c r="S601" s="37"/>
    </row>
    <row r="602" spans="1:19" ht="15.75" thickBot="1" x14ac:dyDescent="0.3">
      <c r="A602" s="6"/>
      <c r="B602" s="36"/>
      <c r="C602" s="37"/>
      <c r="D602" s="38"/>
      <c r="E602" s="37"/>
      <c r="F602" s="7"/>
      <c r="K602" s="37"/>
      <c r="L602" s="60"/>
      <c r="M602" s="60"/>
      <c r="N602" s="50"/>
      <c r="O602" s="61"/>
      <c r="P602" s="75"/>
      <c r="Q602" s="75"/>
      <c r="R602" s="59"/>
      <c r="S602" s="37"/>
    </row>
    <row r="603" spans="1:19" ht="15.75" thickBot="1" x14ac:dyDescent="0.3">
      <c r="A603" s="44" t="s">
        <v>21</v>
      </c>
      <c r="B603" s="45"/>
      <c r="C603" s="46"/>
      <c r="D603" s="47"/>
      <c r="E603" s="46"/>
      <c r="F603" s="48"/>
      <c r="K603" s="37"/>
      <c r="L603" s="60"/>
      <c r="M603" s="37"/>
      <c r="N603" s="36"/>
      <c r="O603" s="37"/>
      <c r="P603" s="37"/>
      <c r="Q603" s="39"/>
      <c r="R603" s="59"/>
      <c r="S603" s="37"/>
    </row>
    <row r="604" spans="1:19" x14ac:dyDescent="0.25">
      <c r="A604" s="122"/>
      <c r="B604" s="87"/>
      <c r="C604" s="88"/>
      <c r="D604" s="123"/>
      <c r="E604" s="90"/>
      <c r="F604" s="124">
        <f t="shared" ref="F604:F605" si="39">ROUND(D604*E604,)</f>
        <v>0</v>
      </c>
      <c r="K604" s="37"/>
      <c r="L604" s="60"/>
      <c r="M604" s="37"/>
      <c r="N604" s="36"/>
      <c r="O604" s="37"/>
      <c r="P604" s="37"/>
      <c r="Q604" s="37"/>
      <c r="R604" s="37"/>
      <c r="S604" s="37"/>
    </row>
    <row r="605" spans="1:19" ht="15.75" thickBot="1" x14ac:dyDescent="0.3">
      <c r="A605" s="23"/>
      <c r="B605" s="24" t="s">
        <v>34</v>
      </c>
      <c r="C605" s="25" t="s">
        <v>35</v>
      </c>
      <c r="D605" s="26">
        <v>0.02</v>
      </c>
      <c r="E605" s="192">
        <v>1700</v>
      </c>
      <c r="F605" s="186">
        <f t="shared" si="39"/>
        <v>34</v>
      </c>
      <c r="K605" s="37"/>
      <c r="L605" s="60"/>
      <c r="M605" s="37"/>
      <c r="N605" s="36"/>
      <c r="O605" s="37"/>
      <c r="P605" s="37"/>
      <c r="Q605" s="37"/>
      <c r="R605" s="37"/>
      <c r="S605" s="37"/>
    </row>
    <row r="606" spans="1:19" ht="15.75" thickBot="1" x14ac:dyDescent="0.3">
      <c r="A606" s="6"/>
      <c r="B606" s="36"/>
      <c r="C606" s="37"/>
      <c r="D606" s="38"/>
      <c r="E606" s="39" t="s">
        <v>22</v>
      </c>
      <c r="F606" s="187">
        <f>SUM(F604:F605)</f>
        <v>34</v>
      </c>
      <c r="K606" s="37"/>
      <c r="L606" s="60"/>
      <c r="M606" s="39"/>
      <c r="N606" s="53"/>
      <c r="O606" s="39"/>
      <c r="P606" s="39"/>
      <c r="Q606" s="39"/>
      <c r="R606" s="39"/>
      <c r="S606" s="37"/>
    </row>
    <row r="607" spans="1:19" ht="15.75" thickBot="1" x14ac:dyDescent="0.3">
      <c r="A607" s="6"/>
      <c r="B607" s="36"/>
      <c r="C607" s="37"/>
      <c r="D607" s="38"/>
      <c r="E607" s="37"/>
      <c r="F607" s="7"/>
      <c r="K607" s="37"/>
      <c r="L607" s="60"/>
      <c r="M607" s="60"/>
      <c r="N607" s="50"/>
      <c r="O607" s="61"/>
      <c r="P607" s="37"/>
      <c r="Q607" s="75"/>
      <c r="R607" s="59"/>
      <c r="S607" s="37"/>
    </row>
    <row r="608" spans="1:19" ht="15.75" thickBot="1" x14ac:dyDescent="0.3">
      <c r="A608" s="44" t="s">
        <v>23</v>
      </c>
      <c r="B608" s="45"/>
      <c r="C608" s="46"/>
      <c r="D608" s="47"/>
      <c r="E608" s="46"/>
      <c r="F608" s="48"/>
      <c r="K608" s="37"/>
      <c r="L608" s="60"/>
      <c r="M608" s="60"/>
      <c r="N608" s="50"/>
      <c r="O608" s="61"/>
      <c r="P608" s="37"/>
      <c r="Q608" s="75"/>
      <c r="R608" s="59"/>
      <c r="S608" s="37"/>
    </row>
    <row r="609" spans="1:19" x14ac:dyDescent="0.25">
      <c r="A609" s="17"/>
      <c r="B609" s="96" t="s">
        <v>73</v>
      </c>
      <c r="C609" s="97" t="s">
        <v>0</v>
      </c>
      <c r="D609" s="244">
        <v>6.0000000000000001E-3</v>
      </c>
      <c r="E609" s="202">
        <v>19900</v>
      </c>
      <c r="F609" s="203">
        <f>ROUND(D609*E609,)</f>
        <v>119</v>
      </c>
      <c r="K609" s="37"/>
      <c r="L609" s="60"/>
      <c r="M609" s="60"/>
      <c r="N609" s="50"/>
      <c r="O609" s="61"/>
      <c r="P609" s="37"/>
      <c r="Q609" s="75"/>
      <c r="R609" s="59"/>
      <c r="S609" s="37"/>
    </row>
    <row r="610" spans="1:19" x14ac:dyDescent="0.25">
      <c r="A610" s="91"/>
      <c r="B610" s="157" t="s">
        <v>74</v>
      </c>
      <c r="C610" s="86" t="s">
        <v>75</v>
      </c>
      <c r="D610" s="279">
        <v>2E-3</v>
      </c>
      <c r="E610" s="195">
        <v>1270</v>
      </c>
      <c r="F610" s="204">
        <f>ROUND(D610*E610,)</f>
        <v>3</v>
      </c>
      <c r="K610" s="37"/>
      <c r="L610" s="60"/>
      <c r="M610" s="60"/>
      <c r="N610" s="50"/>
      <c r="O610" s="61"/>
      <c r="P610" s="37"/>
      <c r="Q610" s="75"/>
      <c r="R610" s="59"/>
      <c r="S610" s="37"/>
    </row>
    <row r="611" spans="1:19" x14ac:dyDescent="0.25">
      <c r="A611" s="91"/>
      <c r="B611" s="158" t="s">
        <v>223</v>
      </c>
      <c r="C611" s="151" t="s">
        <v>0</v>
      </c>
      <c r="D611" s="276">
        <v>2E-3</v>
      </c>
      <c r="E611" s="205">
        <v>7000</v>
      </c>
      <c r="F611" s="206">
        <f t="shared" ref="F611:F614" si="40">ROUND(D611*E611,)</f>
        <v>14</v>
      </c>
      <c r="K611" s="37"/>
      <c r="L611" s="60"/>
      <c r="M611" s="60"/>
      <c r="N611" s="50"/>
      <c r="O611" s="61"/>
      <c r="P611" s="37"/>
      <c r="Q611" s="75"/>
      <c r="R611" s="59"/>
      <c r="S611" s="37"/>
    </row>
    <row r="612" spans="1:19" x14ac:dyDescent="0.25">
      <c r="A612" s="91"/>
      <c r="B612" s="159" t="s">
        <v>50</v>
      </c>
      <c r="C612" s="149" t="s">
        <v>42</v>
      </c>
      <c r="D612" s="281">
        <v>0.01</v>
      </c>
      <c r="E612" s="207">
        <v>36900</v>
      </c>
      <c r="F612" s="206">
        <f t="shared" si="40"/>
        <v>369</v>
      </c>
      <c r="K612" s="37"/>
      <c r="L612" s="60"/>
      <c r="M612" s="60"/>
      <c r="N612" s="50"/>
      <c r="O612" s="61"/>
      <c r="P612" s="37"/>
      <c r="Q612" s="75"/>
      <c r="R612" s="59"/>
      <c r="S612" s="37"/>
    </row>
    <row r="613" spans="1:19" x14ac:dyDescent="0.25">
      <c r="A613" s="161"/>
      <c r="B613" s="162" t="s">
        <v>76</v>
      </c>
      <c r="C613" s="163" t="s">
        <v>42</v>
      </c>
      <c r="D613" s="282">
        <v>6.0000000000000001E-3</v>
      </c>
      <c r="E613" s="207">
        <v>63900</v>
      </c>
      <c r="F613" s="206">
        <f t="shared" si="40"/>
        <v>383</v>
      </c>
      <c r="K613" s="37"/>
      <c r="L613" s="60"/>
      <c r="M613" s="60"/>
      <c r="N613" s="50"/>
      <c r="O613" s="61"/>
      <c r="P613" s="37"/>
      <c r="Q613" s="75"/>
      <c r="R613" s="59"/>
      <c r="S613" s="37"/>
    </row>
    <row r="614" spans="1:19" ht="27.75" customHeight="1" thickBot="1" x14ac:dyDescent="0.3">
      <c r="A614" s="30"/>
      <c r="B614" s="24" t="s">
        <v>77</v>
      </c>
      <c r="C614" s="25" t="s">
        <v>42</v>
      </c>
      <c r="D614" s="283">
        <v>2.5000000000000001E-2</v>
      </c>
      <c r="E614" s="208">
        <v>121900</v>
      </c>
      <c r="F614" s="209">
        <f t="shared" si="40"/>
        <v>3048</v>
      </c>
      <c r="K614" s="37"/>
      <c r="L614" s="60"/>
      <c r="M614" s="37"/>
      <c r="N614" s="36"/>
      <c r="O614" s="37"/>
      <c r="P614" s="37"/>
      <c r="Q614" s="39"/>
      <c r="R614" s="59"/>
      <c r="S614" s="37"/>
    </row>
    <row r="615" spans="1:19" ht="15.75" thickBot="1" x14ac:dyDescent="0.3">
      <c r="A615" s="6"/>
      <c r="B615" s="50"/>
      <c r="C615" s="61"/>
      <c r="D615" s="37"/>
      <c r="E615" s="39" t="s">
        <v>24</v>
      </c>
      <c r="F615" s="187">
        <f>SUM(F609:F614)</f>
        <v>3936</v>
      </c>
      <c r="K615" s="37"/>
      <c r="L615" s="60"/>
      <c r="M615" s="37"/>
      <c r="N615" s="36"/>
      <c r="O615" s="37"/>
      <c r="P615" s="37"/>
      <c r="Q615" s="37"/>
      <c r="R615" s="119"/>
      <c r="S615" s="37"/>
    </row>
    <row r="616" spans="1:19" ht="15.75" thickBot="1" x14ac:dyDescent="0.3">
      <c r="A616" s="155"/>
      <c r="B616" s="9"/>
      <c r="C616" s="156"/>
      <c r="D616" s="10"/>
      <c r="E616" s="39"/>
      <c r="F616" s="144"/>
      <c r="K616" s="37"/>
      <c r="L616" s="60"/>
      <c r="M616" s="127"/>
      <c r="N616" s="147"/>
      <c r="O616" s="127"/>
      <c r="P616" s="127"/>
      <c r="Q616" s="127"/>
      <c r="R616" s="169"/>
      <c r="S616" s="127"/>
    </row>
    <row r="617" spans="1:19" ht="15.75" thickBot="1" x14ac:dyDescent="0.3">
      <c r="A617" s="69" t="s">
        <v>12</v>
      </c>
      <c r="B617" s="64" t="s">
        <v>25</v>
      </c>
      <c r="C617" s="65"/>
      <c r="D617" s="66"/>
      <c r="E617" s="67"/>
      <c r="F617" s="351">
        <f>+F615+F606+F601</f>
        <v>8429</v>
      </c>
      <c r="H617" s="126"/>
      <c r="K617" s="37"/>
      <c r="L617" s="60"/>
      <c r="M617" s="128"/>
      <c r="N617" s="42"/>
      <c r="O617" s="128"/>
      <c r="P617" s="128"/>
      <c r="Q617" s="128"/>
      <c r="R617" s="128"/>
      <c r="S617" s="127"/>
    </row>
    <row r="618" spans="1:19" ht="15.75" thickBot="1" x14ac:dyDescent="0.3">
      <c r="A618" s="37"/>
      <c r="B618" s="36"/>
      <c r="C618" s="37"/>
      <c r="D618" s="37"/>
      <c r="E618" s="39"/>
      <c r="F618" s="59"/>
      <c r="K618" s="37"/>
      <c r="L618" s="60"/>
      <c r="M618" s="132"/>
      <c r="N618" s="133"/>
      <c r="O618" s="130"/>
      <c r="P618" s="134"/>
      <c r="Q618" s="135"/>
      <c r="R618" s="135"/>
      <c r="S618" s="127"/>
    </row>
    <row r="619" spans="1:19" ht="30.75" customHeight="1" x14ac:dyDescent="0.25">
      <c r="A619" s="1" t="s">
        <v>47</v>
      </c>
      <c r="B619" s="355" t="s">
        <v>189</v>
      </c>
      <c r="C619" s="355"/>
      <c r="D619" s="355"/>
      <c r="E619" s="3"/>
      <c r="F619" s="5" t="s">
        <v>15</v>
      </c>
      <c r="K619" s="37"/>
      <c r="L619" s="60"/>
      <c r="M619" s="39"/>
      <c r="N619" s="36"/>
      <c r="O619" s="37"/>
      <c r="P619" s="37"/>
      <c r="Q619" s="37"/>
      <c r="R619" s="49"/>
      <c r="S619" s="127"/>
    </row>
    <row r="620" spans="1:19" ht="15.75" thickBot="1" x14ac:dyDescent="0.3">
      <c r="A620" s="70" t="s">
        <v>9</v>
      </c>
      <c r="B620" s="71">
        <v>2.11</v>
      </c>
      <c r="C620" s="10"/>
      <c r="D620" s="11"/>
      <c r="E620" s="10"/>
      <c r="F620" s="72" t="s">
        <v>26</v>
      </c>
      <c r="K620" s="37"/>
      <c r="L620" s="60"/>
      <c r="M620" s="37"/>
      <c r="N620" s="50"/>
      <c r="O620" s="37"/>
      <c r="P620" s="37"/>
      <c r="Q620" s="37"/>
      <c r="R620" s="57"/>
      <c r="S620" s="127"/>
    </row>
    <row r="621" spans="1:19" ht="15.75" thickBot="1" x14ac:dyDescent="0.3">
      <c r="A621" s="6"/>
      <c r="B621" s="36"/>
      <c r="C621" s="37"/>
      <c r="D621" s="38"/>
      <c r="E621" s="37"/>
      <c r="F621" s="7"/>
      <c r="K621" s="37"/>
      <c r="L621" s="60"/>
      <c r="M621" s="37"/>
      <c r="N621" s="36"/>
      <c r="O621" s="37"/>
      <c r="P621" s="37"/>
      <c r="Q621" s="37"/>
      <c r="R621" s="37"/>
      <c r="S621" s="127"/>
    </row>
    <row r="622" spans="1:19" ht="15.75" thickBot="1" x14ac:dyDescent="0.3">
      <c r="A622" s="33" t="s">
        <v>179</v>
      </c>
      <c r="B622" s="40" t="s">
        <v>47</v>
      </c>
      <c r="C622" s="34" t="s">
        <v>15</v>
      </c>
      <c r="D622" s="35" t="s">
        <v>16</v>
      </c>
      <c r="E622" s="34" t="s">
        <v>17</v>
      </c>
      <c r="F622" s="41" t="s">
        <v>18</v>
      </c>
      <c r="K622" s="37"/>
      <c r="L622" s="60"/>
      <c r="M622" s="39"/>
      <c r="N622" s="50"/>
      <c r="O622" s="37"/>
      <c r="P622" s="37"/>
      <c r="Q622" s="37"/>
      <c r="R622" s="37"/>
      <c r="S622" s="127"/>
    </row>
    <row r="623" spans="1:19" ht="15.75" thickBot="1" x14ac:dyDescent="0.3">
      <c r="A623" s="6"/>
      <c r="B623" s="36"/>
      <c r="C623" s="37"/>
      <c r="D623" s="38"/>
      <c r="E623" s="37"/>
      <c r="F623" s="7"/>
      <c r="K623" s="37"/>
      <c r="L623" s="60"/>
      <c r="M623" s="37"/>
      <c r="N623" s="36"/>
      <c r="O623" s="37"/>
      <c r="P623" s="37"/>
      <c r="Q623" s="37"/>
      <c r="R623" s="37"/>
      <c r="S623" s="127"/>
    </row>
    <row r="624" spans="1:19" ht="15.75" thickBot="1" x14ac:dyDescent="0.3">
      <c r="A624" s="1" t="s">
        <v>19</v>
      </c>
      <c r="B624" s="13"/>
      <c r="C624" s="14"/>
      <c r="D624" s="15"/>
      <c r="E624" s="14"/>
      <c r="F624" s="16"/>
      <c r="K624" s="37"/>
      <c r="L624" s="60"/>
      <c r="M624" s="57"/>
      <c r="N624" s="74"/>
      <c r="O624" s="57"/>
      <c r="P624" s="57"/>
      <c r="Q624" s="57"/>
      <c r="R624" s="57"/>
      <c r="S624" s="127"/>
    </row>
    <row r="625" spans="1:19" ht="29.25" customHeight="1" x14ac:dyDescent="0.25">
      <c r="A625" s="95"/>
      <c r="B625" s="96" t="s">
        <v>30</v>
      </c>
      <c r="C625" s="97" t="s">
        <v>29</v>
      </c>
      <c r="D625" s="20">
        <v>0.55000000000000004</v>
      </c>
      <c r="E625" s="183">
        <v>164667</v>
      </c>
      <c r="F625" s="184">
        <f>ROUND(D625*E625,)</f>
        <v>90567</v>
      </c>
      <c r="K625" s="37"/>
      <c r="L625" s="60"/>
      <c r="M625" s="37"/>
      <c r="N625" s="36"/>
      <c r="O625" s="37"/>
      <c r="P625" s="37"/>
      <c r="Q625" s="37"/>
      <c r="R625" s="37"/>
      <c r="S625" s="127"/>
    </row>
    <row r="626" spans="1:19" ht="20.25" customHeight="1" thickBot="1" x14ac:dyDescent="0.3">
      <c r="A626" s="23"/>
      <c r="B626" s="78" t="s">
        <v>98</v>
      </c>
      <c r="C626" s="79" t="s">
        <v>29</v>
      </c>
      <c r="D626" s="80">
        <v>0.4</v>
      </c>
      <c r="E626" s="192">
        <v>133000</v>
      </c>
      <c r="F626" s="189">
        <f>ROUND(D626*E626,)</f>
        <v>53200</v>
      </c>
      <c r="K626" s="37"/>
      <c r="L626" s="60"/>
      <c r="M626" s="39"/>
      <c r="N626" s="53"/>
      <c r="O626" s="39"/>
      <c r="P626" s="39"/>
      <c r="Q626" s="39"/>
      <c r="R626" s="39"/>
      <c r="S626" s="127"/>
    </row>
    <row r="627" spans="1:19" ht="15.75" thickBot="1" x14ac:dyDescent="0.3">
      <c r="A627" s="6"/>
      <c r="B627" s="36"/>
      <c r="C627" s="37"/>
      <c r="D627" s="38"/>
      <c r="E627" s="39" t="s">
        <v>20</v>
      </c>
      <c r="F627" s="187">
        <f>+F625+F626</f>
        <v>143767</v>
      </c>
      <c r="K627" s="37"/>
      <c r="L627" s="60"/>
      <c r="M627" s="55"/>
      <c r="N627" s="56"/>
      <c r="O627" s="57"/>
      <c r="P627" s="116"/>
      <c r="Q627" s="59"/>
      <c r="R627" s="59"/>
      <c r="S627" s="127"/>
    </row>
    <row r="628" spans="1:19" ht="15.75" thickBot="1" x14ac:dyDescent="0.3">
      <c r="A628" s="6"/>
      <c r="B628" s="36"/>
      <c r="C628" s="37"/>
      <c r="D628" s="38"/>
      <c r="E628" s="37"/>
      <c r="F628" s="7"/>
      <c r="K628" s="37"/>
      <c r="L628" s="60"/>
      <c r="M628" s="60"/>
      <c r="N628" s="50"/>
      <c r="O628" s="61"/>
      <c r="P628" s="116"/>
      <c r="Q628" s="59"/>
      <c r="R628" s="59"/>
      <c r="S628" s="127"/>
    </row>
    <row r="629" spans="1:19" ht="15.75" thickBot="1" x14ac:dyDescent="0.3">
      <c r="A629" s="44" t="s">
        <v>21</v>
      </c>
      <c r="B629" s="45"/>
      <c r="C629" s="46"/>
      <c r="D629" s="47"/>
      <c r="E629" s="46"/>
      <c r="F629" s="48"/>
      <c r="K629" s="37"/>
      <c r="L629" s="60"/>
      <c r="M629" s="37"/>
      <c r="N629" s="36"/>
      <c r="O629" s="37"/>
      <c r="P629" s="37"/>
      <c r="Q629" s="39"/>
      <c r="R629" s="59"/>
      <c r="S629" s="127"/>
    </row>
    <row r="630" spans="1:19" x14ac:dyDescent="0.25">
      <c r="A630" s="122"/>
      <c r="B630" s="87"/>
      <c r="C630" s="88"/>
      <c r="D630" s="123"/>
      <c r="E630" s="182"/>
      <c r="F630" s="210">
        <f t="shared" ref="F630:F632" si="41">ROUND(D630*E630,)</f>
        <v>0</v>
      </c>
      <c r="K630" s="37"/>
      <c r="L630" s="60"/>
      <c r="M630" s="37"/>
      <c r="N630" s="36"/>
      <c r="O630" s="37"/>
      <c r="P630" s="37"/>
      <c r="Q630" s="37"/>
      <c r="R630" s="37"/>
      <c r="S630" s="127"/>
    </row>
    <row r="631" spans="1:19" x14ac:dyDescent="0.25">
      <c r="A631" s="108"/>
      <c r="B631" s="87"/>
      <c r="C631" s="88"/>
      <c r="D631" s="115"/>
      <c r="E631" s="180"/>
      <c r="F631" s="196">
        <f t="shared" si="41"/>
        <v>0</v>
      </c>
      <c r="K631" s="37"/>
      <c r="L631" s="60"/>
      <c r="M631" s="39"/>
      <c r="N631" s="53"/>
      <c r="O631" s="39"/>
      <c r="P631" s="39"/>
      <c r="Q631" s="39"/>
      <c r="R631" s="39"/>
      <c r="S631" s="127"/>
    </row>
    <row r="632" spans="1:19" ht="15.75" thickBot="1" x14ac:dyDescent="0.3">
      <c r="A632" s="23"/>
      <c r="B632" s="24" t="s">
        <v>34</v>
      </c>
      <c r="C632" s="25" t="s">
        <v>35</v>
      </c>
      <c r="D632" s="26">
        <v>0.02</v>
      </c>
      <c r="E632" s="192">
        <v>1700</v>
      </c>
      <c r="F632" s="186">
        <f t="shared" si="41"/>
        <v>34</v>
      </c>
      <c r="K632" s="37"/>
      <c r="L632" s="60"/>
      <c r="M632" s="60"/>
      <c r="N632" s="50"/>
      <c r="O632" s="61"/>
      <c r="P632" s="58"/>
      <c r="Q632" s="59"/>
      <c r="R632" s="59"/>
      <c r="S632" s="127"/>
    </row>
    <row r="633" spans="1:19" ht="15.75" thickBot="1" x14ac:dyDescent="0.3">
      <c r="A633" s="6"/>
      <c r="B633" s="36"/>
      <c r="C633" s="37"/>
      <c r="D633" s="38"/>
      <c r="E633" s="39" t="s">
        <v>22</v>
      </c>
      <c r="F633" s="187">
        <f>SUM(F630:F632)</f>
        <v>34</v>
      </c>
      <c r="K633" s="37"/>
      <c r="L633" s="60"/>
      <c r="M633" s="55"/>
      <c r="N633" s="56"/>
      <c r="O633" s="57"/>
      <c r="P633" s="116"/>
      <c r="Q633" s="59"/>
      <c r="R633" s="59"/>
      <c r="S633" s="127"/>
    </row>
    <row r="634" spans="1:19" ht="15.75" thickBot="1" x14ac:dyDescent="0.3">
      <c r="A634" s="6"/>
      <c r="B634" s="36"/>
      <c r="C634" s="37"/>
      <c r="D634" s="38"/>
      <c r="E634" s="37"/>
      <c r="F634" s="7"/>
      <c r="K634" s="37"/>
      <c r="L634" s="60"/>
      <c r="M634" s="37"/>
      <c r="N634" s="36"/>
      <c r="O634" s="37"/>
      <c r="P634" s="37"/>
      <c r="Q634" s="39"/>
      <c r="R634" s="59"/>
      <c r="S634" s="127"/>
    </row>
    <row r="635" spans="1:19" ht="15.75" thickBot="1" x14ac:dyDescent="0.3">
      <c r="A635" s="44" t="s">
        <v>23</v>
      </c>
      <c r="B635" s="45"/>
      <c r="C635" s="46"/>
      <c r="D635" s="47"/>
      <c r="E635" s="46"/>
      <c r="F635" s="48"/>
      <c r="K635" s="37"/>
      <c r="L635" s="60"/>
      <c r="M635" s="37"/>
      <c r="N635" s="36"/>
      <c r="O635" s="37"/>
      <c r="P635" s="37"/>
      <c r="Q635" s="37"/>
      <c r="R635" s="37"/>
      <c r="S635" s="127"/>
    </row>
    <row r="636" spans="1:19" ht="30" x14ac:dyDescent="0.25">
      <c r="A636" s="17"/>
      <c r="B636" s="96" t="s">
        <v>224</v>
      </c>
      <c r="C636" s="97" t="s">
        <v>40</v>
      </c>
      <c r="D636" s="20">
        <v>1.22</v>
      </c>
      <c r="E636" s="202">
        <v>139800</v>
      </c>
      <c r="F636" s="184">
        <f>ROUND(D636*E636,)</f>
        <v>170556</v>
      </c>
      <c r="K636" s="37"/>
      <c r="L636" s="60"/>
      <c r="M636" s="39"/>
      <c r="N636" s="53"/>
      <c r="O636" s="39"/>
      <c r="P636" s="39"/>
      <c r="Q636" s="39"/>
      <c r="R636" s="39"/>
      <c r="S636" s="127"/>
    </row>
    <row r="637" spans="1:19" ht="30" x14ac:dyDescent="0.25">
      <c r="A637" s="91"/>
      <c r="B637" s="158" t="s">
        <v>225</v>
      </c>
      <c r="C637" s="151" t="s">
        <v>40</v>
      </c>
      <c r="D637" s="83">
        <v>1.54</v>
      </c>
      <c r="E637" s="205">
        <f>39900*2</f>
        <v>79800</v>
      </c>
      <c r="F637" s="188">
        <f>ROUND(D637*E637,)</f>
        <v>122892</v>
      </c>
      <c r="K637" s="37"/>
      <c r="L637" s="60"/>
      <c r="M637" s="55"/>
      <c r="N637" s="56"/>
      <c r="O637" s="57"/>
      <c r="P637" s="116"/>
      <c r="Q637" s="59"/>
      <c r="R637" s="59"/>
      <c r="S637" s="127"/>
    </row>
    <row r="638" spans="1:19" x14ac:dyDescent="0.25">
      <c r="A638" s="165"/>
      <c r="B638" s="85" t="s">
        <v>226</v>
      </c>
      <c r="C638" s="86" t="s">
        <v>40</v>
      </c>
      <c r="D638" s="83">
        <v>0.85</v>
      </c>
      <c r="E638" s="195">
        <v>109900</v>
      </c>
      <c r="F638" s="211">
        <f t="shared" ref="F638:F642" si="42">ROUND(D638*E638,)</f>
        <v>93415</v>
      </c>
      <c r="K638" s="37"/>
      <c r="L638" s="60"/>
      <c r="M638" s="60"/>
      <c r="N638" s="50"/>
      <c r="O638" s="61"/>
      <c r="P638" s="116"/>
      <c r="Q638" s="59"/>
      <c r="R638" s="59"/>
      <c r="S638" s="127"/>
    </row>
    <row r="639" spans="1:19" ht="33" customHeight="1" x14ac:dyDescent="0.25">
      <c r="A639" s="91"/>
      <c r="B639" s="85" t="s">
        <v>199</v>
      </c>
      <c r="C639" s="86" t="s">
        <v>40</v>
      </c>
      <c r="D639" s="83">
        <v>0.3</v>
      </c>
      <c r="E639" s="195">
        <v>62900</v>
      </c>
      <c r="F639" s="185">
        <f t="shared" si="42"/>
        <v>18870</v>
      </c>
      <c r="K639" s="37"/>
      <c r="L639" s="60"/>
      <c r="M639" s="60"/>
      <c r="N639" s="50"/>
      <c r="O639" s="61"/>
      <c r="P639" s="116"/>
      <c r="Q639" s="59"/>
      <c r="R639" s="59"/>
      <c r="S639" s="127"/>
    </row>
    <row r="640" spans="1:19" ht="18.75" customHeight="1" x14ac:dyDescent="0.25">
      <c r="A640" s="91"/>
      <c r="B640" s="85" t="s">
        <v>82</v>
      </c>
      <c r="C640" s="86" t="s">
        <v>40</v>
      </c>
      <c r="D640" s="83">
        <v>2</v>
      </c>
      <c r="E640" s="195">
        <v>19900</v>
      </c>
      <c r="F640" s="185">
        <f t="shared" si="42"/>
        <v>39800</v>
      </c>
      <c r="K640" s="37"/>
      <c r="L640" s="60"/>
      <c r="M640" s="60"/>
      <c r="N640" s="50"/>
      <c r="O640" s="61"/>
      <c r="P640" s="116"/>
      <c r="Q640" s="59"/>
      <c r="R640" s="59"/>
      <c r="S640" s="127"/>
    </row>
    <row r="641" spans="1:19" ht="45" customHeight="1" x14ac:dyDescent="0.25">
      <c r="A641" s="161"/>
      <c r="B641" s="166" t="s">
        <v>83</v>
      </c>
      <c r="C641" s="167" t="s">
        <v>78</v>
      </c>
      <c r="D641" s="280">
        <v>0.08</v>
      </c>
      <c r="E641" s="213">
        <v>14900</v>
      </c>
      <c r="F641" s="185">
        <f t="shared" si="42"/>
        <v>1192</v>
      </c>
      <c r="K641" s="37"/>
      <c r="L641" s="60"/>
      <c r="M641" s="60"/>
      <c r="N641" s="50"/>
      <c r="O641" s="61"/>
      <c r="P641" s="116"/>
      <c r="Q641" s="59"/>
      <c r="R641" s="59"/>
      <c r="S641" s="127"/>
    </row>
    <row r="642" spans="1:19" ht="15.75" thickBot="1" x14ac:dyDescent="0.3">
      <c r="A642" s="30"/>
      <c r="B642" s="24" t="s">
        <v>79</v>
      </c>
      <c r="C642" s="25" t="s">
        <v>80</v>
      </c>
      <c r="D642" s="269">
        <v>0.61</v>
      </c>
      <c r="E642" s="208">
        <v>4620</v>
      </c>
      <c r="F642" s="186">
        <f t="shared" si="42"/>
        <v>2818</v>
      </c>
      <c r="K642" s="37"/>
      <c r="L642" s="60"/>
      <c r="M642" s="37"/>
      <c r="N642" s="36"/>
      <c r="O642" s="37"/>
      <c r="P642" s="37"/>
      <c r="Q642" s="39"/>
      <c r="R642" s="59"/>
      <c r="S642" s="127"/>
    </row>
    <row r="643" spans="1:19" ht="15.75" thickBot="1" x14ac:dyDescent="0.3">
      <c r="A643" s="6"/>
      <c r="B643" s="50"/>
      <c r="C643" s="61"/>
      <c r="D643" s="37"/>
      <c r="E643" s="39" t="s">
        <v>24</v>
      </c>
      <c r="F643" s="187">
        <f>SUM(F636:F642)</f>
        <v>449543</v>
      </c>
      <c r="K643" s="37"/>
      <c r="L643" s="60"/>
      <c r="M643" s="37"/>
      <c r="N643" s="36"/>
      <c r="O643" s="37"/>
      <c r="P643" s="37"/>
      <c r="Q643" s="37"/>
      <c r="R643" s="37"/>
      <c r="S643" s="127"/>
    </row>
    <row r="644" spans="1:19" ht="15.75" thickBot="1" x14ac:dyDescent="0.3">
      <c r="A644" s="155"/>
      <c r="B644" s="9"/>
      <c r="C644" s="156"/>
      <c r="D644" s="10"/>
      <c r="E644" s="39"/>
      <c r="F644" s="212"/>
      <c r="K644" s="37"/>
      <c r="L644" s="60"/>
      <c r="M644" s="39"/>
      <c r="N644" s="53"/>
      <c r="O644" s="39"/>
      <c r="P644" s="39"/>
      <c r="Q644" s="39"/>
      <c r="R644" s="39"/>
      <c r="S644" s="127"/>
    </row>
    <row r="645" spans="1:19" ht="15.75" thickBot="1" x14ac:dyDescent="0.3">
      <c r="A645" s="69" t="s">
        <v>12</v>
      </c>
      <c r="B645" s="64" t="s">
        <v>25</v>
      </c>
      <c r="C645" s="65"/>
      <c r="D645" s="66"/>
      <c r="E645" s="67"/>
      <c r="F645" s="352">
        <f>+F643+F633+F627</f>
        <v>593344</v>
      </c>
      <c r="G645" s="126"/>
      <c r="K645" s="37"/>
      <c r="L645" s="60"/>
      <c r="M645" s="55"/>
      <c r="N645" s="56"/>
      <c r="O645" s="57"/>
      <c r="P645" s="116"/>
      <c r="Q645" s="59"/>
      <c r="R645" s="59"/>
      <c r="S645" s="127"/>
    </row>
    <row r="646" spans="1:19" ht="15.75" thickBot="1" x14ac:dyDescent="0.3">
      <c r="A646" s="37"/>
      <c r="B646" s="36"/>
      <c r="C646" s="37"/>
      <c r="D646" s="37"/>
      <c r="E646" s="39"/>
      <c r="F646" s="59"/>
      <c r="K646" s="37"/>
      <c r="L646" s="60"/>
      <c r="M646" s="37"/>
      <c r="N646" s="36"/>
      <c r="O646" s="37"/>
      <c r="P646" s="37"/>
      <c r="Q646" s="39"/>
      <c r="R646" s="59"/>
      <c r="S646" s="127"/>
    </row>
    <row r="647" spans="1:19" ht="28.5" customHeight="1" x14ac:dyDescent="0.25">
      <c r="A647" s="1" t="s">
        <v>47</v>
      </c>
      <c r="B647" s="355" t="s">
        <v>141</v>
      </c>
      <c r="C647" s="355"/>
      <c r="D647" s="355"/>
      <c r="E647" s="3"/>
      <c r="F647" s="5" t="s">
        <v>15</v>
      </c>
      <c r="K647" s="37"/>
      <c r="L647" s="60"/>
      <c r="M647" s="39"/>
      <c r="N647" s="36"/>
      <c r="O647" s="37"/>
      <c r="P647" s="37"/>
      <c r="Q647" s="37"/>
      <c r="R647" s="49"/>
      <c r="S647" s="127"/>
    </row>
    <row r="648" spans="1:19" ht="15.75" thickBot="1" x14ac:dyDescent="0.3">
      <c r="A648" s="70" t="s">
        <v>9</v>
      </c>
      <c r="B648" s="71">
        <v>2.12</v>
      </c>
      <c r="C648" s="10"/>
      <c r="D648" s="11"/>
      <c r="E648" s="10"/>
      <c r="F648" s="72" t="s">
        <v>26</v>
      </c>
      <c r="K648" s="37"/>
      <c r="L648" s="60"/>
      <c r="M648" s="37"/>
      <c r="N648" s="50"/>
      <c r="O648" s="37"/>
      <c r="P648" s="37"/>
      <c r="Q648" s="37"/>
      <c r="R648" s="57"/>
      <c r="S648" s="37"/>
    </row>
    <row r="649" spans="1:19" ht="15.75" thickBot="1" x14ac:dyDescent="0.3">
      <c r="A649" s="6"/>
      <c r="B649" s="36"/>
      <c r="C649" s="37"/>
      <c r="D649" s="38"/>
      <c r="E649" s="37"/>
      <c r="F649" s="7"/>
      <c r="K649" s="37"/>
      <c r="L649" s="60"/>
      <c r="M649" s="37"/>
      <c r="N649" s="36"/>
      <c r="O649" s="37"/>
      <c r="P649" s="37"/>
      <c r="Q649" s="37"/>
      <c r="R649" s="37"/>
      <c r="S649" s="37"/>
    </row>
    <row r="650" spans="1:19" ht="15.75" thickBot="1" x14ac:dyDescent="0.3">
      <c r="A650" s="33" t="s">
        <v>179</v>
      </c>
      <c r="B650" s="40" t="s">
        <v>47</v>
      </c>
      <c r="C650" s="34" t="s">
        <v>15</v>
      </c>
      <c r="D650" s="35" t="s">
        <v>16</v>
      </c>
      <c r="E650" s="34" t="s">
        <v>17</v>
      </c>
      <c r="F650" s="41" t="s">
        <v>18</v>
      </c>
      <c r="K650" s="37"/>
      <c r="L650" s="60"/>
      <c r="M650" s="39"/>
      <c r="N650" s="50"/>
      <c r="O650" s="37"/>
      <c r="P650" s="37"/>
      <c r="Q650" s="37"/>
      <c r="R650" s="37"/>
      <c r="S650" s="37"/>
    </row>
    <row r="651" spans="1:19" ht="15.75" thickBot="1" x14ac:dyDescent="0.3">
      <c r="A651" s="6"/>
      <c r="B651" s="36"/>
      <c r="C651" s="37"/>
      <c r="D651" s="38"/>
      <c r="E651" s="37"/>
      <c r="F651" s="7"/>
      <c r="K651" s="37"/>
      <c r="L651" s="60"/>
      <c r="M651" s="37"/>
      <c r="N651" s="36"/>
      <c r="O651" s="37"/>
      <c r="P651" s="37"/>
      <c r="Q651" s="37"/>
      <c r="R651" s="37"/>
      <c r="S651" s="37"/>
    </row>
    <row r="652" spans="1:19" ht="15.75" thickBot="1" x14ac:dyDescent="0.3">
      <c r="A652" s="1" t="s">
        <v>19</v>
      </c>
      <c r="B652" s="13"/>
      <c r="C652" s="14"/>
      <c r="D652" s="15"/>
      <c r="E652" s="14"/>
      <c r="F652" s="16"/>
      <c r="K652" s="37"/>
      <c r="L652" s="60"/>
      <c r="M652" s="57"/>
      <c r="N652" s="74"/>
      <c r="O652" s="57"/>
      <c r="P652" s="57"/>
      <c r="Q652" s="57"/>
      <c r="R652" s="57"/>
      <c r="S652" s="37"/>
    </row>
    <row r="653" spans="1:19" ht="25.5" customHeight="1" x14ac:dyDescent="0.25">
      <c r="A653" s="95"/>
      <c r="B653" s="96" t="s">
        <v>30</v>
      </c>
      <c r="C653" s="97" t="s">
        <v>29</v>
      </c>
      <c r="D653" s="20">
        <v>0.22</v>
      </c>
      <c r="E653" s="183">
        <v>164667</v>
      </c>
      <c r="F653" s="184">
        <f>ROUND(D653*E653,)</f>
        <v>36227</v>
      </c>
      <c r="K653" s="37"/>
      <c r="L653" s="60"/>
      <c r="M653" s="37"/>
      <c r="N653" s="36"/>
      <c r="O653" s="37"/>
      <c r="P653" s="37"/>
      <c r="Q653" s="37"/>
      <c r="R653" s="37"/>
      <c r="S653" s="37"/>
    </row>
    <row r="654" spans="1:19" ht="15.75" thickBot="1" x14ac:dyDescent="0.3">
      <c r="A654" s="23"/>
      <c r="B654" s="78" t="s">
        <v>98</v>
      </c>
      <c r="C654" s="79" t="s">
        <v>29</v>
      </c>
      <c r="D654" s="80">
        <v>0.22</v>
      </c>
      <c r="E654" s="192">
        <v>133000</v>
      </c>
      <c r="F654" s="189">
        <f>ROUND(D654*E654,)</f>
        <v>29260</v>
      </c>
      <c r="K654" s="37"/>
      <c r="L654" s="60"/>
      <c r="M654" s="39"/>
      <c r="N654" s="53"/>
      <c r="O654" s="39"/>
      <c r="P654" s="39"/>
      <c r="Q654" s="39"/>
      <c r="R654" s="39"/>
      <c r="S654" s="37"/>
    </row>
    <row r="655" spans="1:19" ht="15.75" thickBot="1" x14ac:dyDescent="0.3">
      <c r="A655" s="6"/>
      <c r="B655" s="36"/>
      <c r="C655" s="37"/>
      <c r="D655" s="38"/>
      <c r="E655" s="39" t="s">
        <v>20</v>
      </c>
      <c r="F655" s="187">
        <f>+F653+F654</f>
        <v>65487</v>
      </c>
      <c r="K655" s="37"/>
      <c r="L655" s="60"/>
      <c r="M655" s="55"/>
      <c r="N655" s="56"/>
      <c r="O655" s="57"/>
      <c r="P655" s="116"/>
      <c r="Q655" s="59"/>
      <c r="R655" s="59"/>
      <c r="S655" s="37"/>
    </row>
    <row r="656" spans="1:19" ht="15.75" thickBot="1" x14ac:dyDescent="0.3">
      <c r="A656" s="6"/>
      <c r="B656" s="36"/>
      <c r="C656" s="37"/>
      <c r="D656" s="38"/>
      <c r="E656" s="37"/>
      <c r="F656" s="7"/>
      <c r="K656" s="37"/>
      <c r="L656" s="60"/>
      <c r="M656" s="60"/>
      <c r="N656" s="50"/>
      <c r="O656" s="61"/>
      <c r="P656" s="116"/>
      <c r="Q656" s="59"/>
      <c r="R656" s="59"/>
      <c r="S656" s="37"/>
    </row>
    <row r="657" spans="1:19" ht="15.75" thickBot="1" x14ac:dyDescent="0.3">
      <c r="A657" s="44" t="s">
        <v>21</v>
      </c>
      <c r="B657" s="45"/>
      <c r="C657" s="46"/>
      <c r="D657" s="47"/>
      <c r="E657" s="46"/>
      <c r="F657" s="48"/>
      <c r="K657" s="37"/>
      <c r="L657" s="60"/>
      <c r="M657" s="37"/>
      <c r="N657" s="36"/>
      <c r="O657" s="37"/>
      <c r="P657" s="37"/>
      <c r="Q657" s="39"/>
      <c r="R657" s="59"/>
      <c r="S657" s="37"/>
    </row>
    <row r="658" spans="1:19" x14ac:dyDescent="0.25">
      <c r="A658" s="122"/>
      <c r="B658" s="87"/>
      <c r="C658" s="88"/>
      <c r="D658" s="123"/>
      <c r="E658" s="182"/>
      <c r="F658" s="210">
        <f t="shared" ref="F658:F660" si="43">ROUND(D658*E658,)</f>
        <v>0</v>
      </c>
      <c r="K658" s="37"/>
      <c r="L658" s="60"/>
      <c r="M658" s="37"/>
      <c r="N658" s="36"/>
      <c r="O658" s="37"/>
      <c r="P658" s="37"/>
      <c r="Q658" s="37"/>
      <c r="R658" s="37"/>
      <c r="S658" s="37"/>
    </row>
    <row r="659" spans="1:19" x14ac:dyDescent="0.25">
      <c r="A659" s="108"/>
      <c r="B659" s="87"/>
      <c r="C659" s="88"/>
      <c r="D659" s="115"/>
      <c r="E659" s="180"/>
      <c r="F659" s="196">
        <f t="shared" si="43"/>
        <v>0</v>
      </c>
      <c r="K659" s="37"/>
      <c r="L659" s="60"/>
      <c r="M659" s="39"/>
      <c r="N659" s="53"/>
      <c r="O659" s="39"/>
      <c r="P659" s="39"/>
      <c r="Q659" s="39"/>
      <c r="R659" s="39"/>
      <c r="S659" s="37"/>
    </row>
    <row r="660" spans="1:19" ht="15.75" thickBot="1" x14ac:dyDescent="0.3">
      <c r="A660" s="23"/>
      <c r="B660" s="24" t="s">
        <v>34</v>
      </c>
      <c r="C660" s="25" t="s">
        <v>35</v>
      </c>
      <c r="D660" s="26">
        <v>0.02</v>
      </c>
      <c r="E660" s="192">
        <v>1700</v>
      </c>
      <c r="F660" s="186">
        <f t="shared" si="43"/>
        <v>34</v>
      </c>
      <c r="K660" s="37"/>
      <c r="L660" s="60"/>
      <c r="M660" s="60"/>
      <c r="N660" s="50"/>
      <c r="O660" s="61"/>
      <c r="P660" s="58"/>
      <c r="Q660" s="59"/>
      <c r="R660" s="59"/>
      <c r="S660" s="37"/>
    </row>
    <row r="661" spans="1:19" ht="15.75" thickBot="1" x14ac:dyDescent="0.3">
      <c r="A661" s="6"/>
      <c r="B661" s="36"/>
      <c r="C661" s="37"/>
      <c r="D661" s="38"/>
      <c r="E661" s="39" t="s">
        <v>22</v>
      </c>
      <c r="F661" s="187">
        <f>SUM(F658:F660)</f>
        <v>34</v>
      </c>
      <c r="K661" s="37"/>
      <c r="L661" s="60"/>
      <c r="M661" s="55"/>
      <c r="N661" s="56"/>
      <c r="O661" s="57"/>
      <c r="P661" s="116"/>
      <c r="Q661" s="59"/>
      <c r="R661" s="59"/>
      <c r="S661" s="37"/>
    </row>
    <row r="662" spans="1:19" ht="15.75" thickBot="1" x14ac:dyDescent="0.3">
      <c r="A662" s="6"/>
      <c r="B662" s="36"/>
      <c r="C662" s="37"/>
      <c r="D662" s="38"/>
      <c r="E662" s="37"/>
      <c r="F662" s="7"/>
      <c r="K662" s="37"/>
      <c r="L662" s="60"/>
      <c r="M662" s="37"/>
      <c r="N662" s="36"/>
      <c r="O662" s="37"/>
      <c r="P662" s="37"/>
      <c r="Q662" s="39"/>
      <c r="R662" s="59"/>
      <c r="S662" s="37"/>
    </row>
    <row r="663" spans="1:19" ht="15.75" thickBot="1" x14ac:dyDescent="0.3">
      <c r="A663" s="44" t="s">
        <v>23</v>
      </c>
      <c r="B663" s="45"/>
      <c r="C663" s="46"/>
      <c r="D663" s="47"/>
      <c r="E663" s="46"/>
      <c r="F663" s="48"/>
      <c r="K663" s="37"/>
      <c r="L663" s="60"/>
      <c r="M663" s="37"/>
      <c r="N663" s="36"/>
      <c r="O663" s="37"/>
      <c r="P663" s="37"/>
      <c r="Q663" s="37"/>
      <c r="R663" s="37"/>
      <c r="S663" s="37"/>
    </row>
    <row r="664" spans="1:19" x14ac:dyDescent="0.25">
      <c r="A664" s="17"/>
      <c r="B664" s="96" t="s">
        <v>28</v>
      </c>
      <c r="C664" s="97" t="s">
        <v>42</v>
      </c>
      <c r="D664" s="244">
        <v>0.1</v>
      </c>
      <c r="E664" s="101">
        <v>124400</v>
      </c>
      <c r="F664" s="254">
        <f>ROUND(D664*E664,)</f>
        <v>12440</v>
      </c>
      <c r="K664" s="37"/>
      <c r="L664" s="60"/>
      <c r="M664" s="39"/>
      <c r="N664" s="53"/>
      <c r="O664" s="39"/>
      <c r="P664" s="39"/>
      <c r="Q664" s="39"/>
      <c r="R664" s="39"/>
      <c r="S664" s="37"/>
    </row>
    <row r="665" spans="1:19" ht="17.25" customHeight="1" x14ac:dyDescent="0.25">
      <c r="A665" s="91"/>
      <c r="B665" s="158" t="s">
        <v>85</v>
      </c>
      <c r="C665" s="151" t="s">
        <v>49</v>
      </c>
      <c r="D665" s="276">
        <v>0.1</v>
      </c>
      <c r="E665" s="205">
        <v>55300</v>
      </c>
      <c r="F665" s="188">
        <f>ROUND(D665*E665,)</f>
        <v>5530</v>
      </c>
      <c r="K665" s="37"/>
      <c r="L665" s="60"/>
      <c r="M665" s="55"/>
      <c r="N665" s="56"/>
      <c r="O665" s="57"/>
      <c r="P665" s="116"/>
      <c r="Q665" s="59"/>
      <c r="R665" s="59"/>
      <c r="S665" s="37"/>
    </row>
    <row r="666" spans="1:19" x14ac:dyDescent="0.25">
      <c r="A666" s="165"/>
      <c r="B666" s="85" t="s">
        <v>84</v>
      </c>
      <c r="C666" s="86" t="s">
        <v>33</v>
      </c>
      <c r="D666" s="278">
        <v>1.5</v>
      </c>
      <c r="E666" s="195">
        <v>739</v>
      </c>
      <c r="F666" s="211">
        <f t="shared" ref="F666:F668" si="44">ROUND(D666*E666,)</f>
        <v>1109</v>
      </c>
      <c r="K666" s="37"/>
      <c r="L666" s="60"/>
      <c r="M666" s="60"/>
      <c r="N666" s="50"/>
      <c r="O666" s="61"/>
      <c r="P666" s="116"/>
      <c r="Q666" s="59"/>
      <c r="R666" s="59"/>
      <c r="S666" s="37"/>
    </row>
    <row r="667" spans="1:19" x14ac:dyDescent="0.25">
      <c r="A667" s="91"/>
      <c r="B667" s="85" t="s">
        <v>46</v>
      </c>
      <c r="C667" s="86" t="s">
        <v>40</v>
      </c>
      <c r="D667" s="279">
        <v>1</v>
      </c>
      <c r="E667" s="195">
        <v>1900</v>
      </c>
      <c r="F667" s="185">
        <f t="shared" si="44"/>
        <v>1900</v>
      </c>
      <c r="K667" s="37"/>
      <c r="L667" s="60"/>
      <c r="M667" s="60"/>
      <c r="N667" s="50"/>
      <c r="O667" s="61"/>
      <c r="P667" s="116"/>
      <c r="Q667" s="59"/>
      <c r="R667" s="59"/>
      <c r="S667" s="37"/>
    </row>
    <row r="668" spans="1:19" x14ac:dyDescent="0.25">
      <c r="A668" s="91"/>
      <c r="B668" s="85" t="s">
        <v>86</v>
      </c>
      <c r="C668" s="86" t="s">
        <v>33</v>
      </c>
      <c r="D668" s="278">
        <v>1.5</v>
      </c>
      <c r="E668" s="195">
        <v>180</v>
      </c>
      <c r="F668" s="185">
        <f t="shared" si="44"/>
        <v>270</v>
      </c>
      <c r="K668" s="37"/>
      <c r="L668" s="60"/>
      <c r="M668" s="60"/>
      <c r="N668" s="50"/>
      <c r="O668" s="61"/>
      <c r="P668" s="116"/>
      <c r="Q668" s="59"/>
      <c r="R668" s="59"/>
      <c r="S668" s="37"/>
    </row>
    <row r="669" spans="1:19" ht="15.75" thickBot="1" x14ac:dyDescent="0.3">
      <c r="A669" s="30"/>
      <c r="B669" s="24"/>
      <c r="C669" s="25"/>
      <c r="D669" s="102"/>
      <c r="E669" s="164"/>
      <c r="F669" s="186"/>
      <c r="K669" s="37"/>
      <c r="L669" s="60"/>
      <c r="M669" s="37"/>
      <c r="N669" s="36"/>
      <c r="O669" s="37"/>
      <c r="P669" s="37"/>
      <c r="Q669" s="39"/>
      <c r="R669" s="59"/>
      <c r="S669" s="37"/>
    </row>
    <row r="670" spans="1:19" ht="15.75" thickBot="1" x14ac:dyDescent="0.3">
      <c r="A670" s="6"/>
      <c r="B670" s="50"/>
      <c r="C670" s="61"/>
      <c r="D670" s="37"/>
      <c r="E670" s="39" t="s">
        <v>24</v>
      </c>
      <c r="F670" s="187">
        <f>SUM(F664:F669)</f>
        <v>21249</v>
      </c>
      <c r="K670" s="37"/>
      <c r="L670" s="60"/>
      <c r="M670" s="37"/>
      <c r="N670" s="36"/>
      <c r="O670" s="37"/>
      <c r="P670" s="37"/>
      <c r="Q670" s="37"/>
      <c r="R670" s="37"/>
      <c r="S670" s="37"/>
    </row>
    <row r="671" spans="1:19" ht="15.75" thickBot="1" x14ac:dyDescent="0.3">
      <c r="A671" s="155"/>
      <c r="B671" s="9"/>
      <c r="C671" s="156"/>
      <c r="D671" s="10"/>
      <c r="E671" s="39"/>
      <c r="F671" s="144"/>
      <c r="K671" s="37"/>
      <c r="L671" s="60"/>
      <c r="M671" s="39"/>
      <c r="N671" s="143"/>
      <c r="O671" s="39"/>
      <c r="P671" s="39"/>
      <c r="Q671" s="39"/>
      <c r="R671" s="39"/>
      <c r="S671" s="37"/>
    </row>
    <row r="672" spans="1:19" ht="15.75" thickBot="1" x14ac:dyDescent="0.3">
      <c r="A672" s="69" t="s">
        <v>12</v>
      </c>
      <c r="B672" s="64" t="s">
        <v>25</v>
      </c>
      <c r="C672" s="65"/>
      <c r="D672" s="66"/>
      <c r="E672" s="67"/>
      <c r="F672" s="351">
        <f>+F670+F661+F655</f>
        <v>86770</v>
      </c>
      <c r="H672" s="126"/>
      <c r="K672" s="37"/>
      <c r="L672" s="60"/>
      <c r="M672" s="55"/>
      <c r="N672" s="56"/>
      <c r="O672" s="57"/>
      <c r="P672" s="116"/>
      <c r="Q672" s="59"/>
      <c r="R672" s="59"/>
      <c r="S672" s="37"/>
    </row>
    <row r="673" spans="1:19" ht="15.75" thickBot="1" x14ac:dyDescent="0.3">
      <c r="A673" s="37"/>
      <c r="B673" s="36"/>
      <c r="C673" s="37"/>
      <c r="D673" s="37"/>
      <c r="E673" s="39"/>
      <c r="F673" s="59"/>
      <c r="K673" s="37"/>
      <c r="L673" s="60"/>
      <c r="M673" s="37"/>
      <c r="N673" s="36"/>
      <c r="O673" s="37"/>
      <c r="P673" s="37"/>
      <c r="Q673" s="39"/>
      <c r="R673" s="59"/>
      <c r="S673" s="37"/>
    </row>
    <row r="674" spans="1:19" ht="28.5" customHeight="1" x14ac:dyDescent="0.25">
      <c r="A674" s="1" t="s">
        <v>47</v>
      </c>
      <c r="B674" s="355" t="s">
        <v>142</v>
      </c>
      <c r="C674" s="355"/>
      <c r="D674" s="355"/>
      <c r="E674" s="3"/>
      <c r="F674" s="5" t="s">
        <v>15</v>
      </c>
      <c r="K674" s="37"/>
      <c r="L674" s="60"/>
      <c r="M674" s="39"/>
      <c r="N674" s="36"/>
      <c r="O674" s="37"/>
      <c r="P674" s="37"/>
      <c r="Q674" s="37"/>
      <c r="R674" s="49"/>
      <c r="S674" s="127"/>
    </row>
    <row r="675" spans="1:19" ht="15.75" thickBot="1" x14ac:dyDescent="0.3">
      <c r="A675" s="70" t="s">
        <v>9</v>
      </c>
      <c r="B675" s="71">
        <v>2.12</v>
      </c>
      <c r="C675" s="10"/>
      <c r="D675" s="11"/>
      <c r="E675" s="10"/>
      <c r="F675" s="72" t="s">
        <v>26</v>
      </c>
      <c r="K675" s="37"/>
      <c r="L675" s="60"/>
      <c r="M675" s="37"/>
      <c r="N675" s="50"/>
      <c r="O675" s="37"/>
      <c r="P675" s="37"/>
      <c r="Q675" s="37"/>
      <c r="R675" s="57"/>
      <c r="S675" s="37"/>
    </row>
    <row r="676" spans="1:19" ht="15.75" thickBot="1" x14ac:dyDescent="0.3">
      <c r="A676" s="6"/>
      <c r="B676" s="36"/>
      <c r="C676" s="37"/>
      <c r="D676" s="38"/>
      <c r="E676" s="37"/>
      <c r="F676" s="7"/>
      <c r="K676" s="37"/>
      <c r="L676" s="60"/>
      <c r="M676" s="37"/>
      <c r="N676" s="36"/>
      <c r="O676" s="37"/>
      <c r="P676" s="37"/>
      <c r="Q676" s="37"/>
      <c r="R676" s="37"/>
      <c r="S676" s="37"/>
    </row>
    <row r="677" spans="1:19" ht="15.75" thickBot="1" x14ac:dyDescent="0.3">
      <c r="A677" s="33" t="s">
        <v>179</v>
      </c>
      <c r="B677" s="40" t="s">
        <v>47</v>
      </c>
      <c r="C677" s="34" t="s">
        <v>15</v>
      </c>
      <c r="D677" s="35" t="s">
        <v>16</v>
      </c>
      <c r="E677" s="34" t="s">
        <v>17</v>
      </c>
      <c r="F677" s="41" t="s">
        <v>18</v>
      </c>
      <c r="K677" s="37"/>
      <c r="L677" s="60"/>
      <c r="M677" s="39"/>
      <c r="N677" s="50"/>
      <c r="O677" s="37"/>
      <c r="P677" s="37"/>
      <c r="Q677" s="37"/>
      <c r="R677" s="37"/>
      <c r="S677" s="37"/>
    </row>
    <row r="678" spans="1:19" ht="15.75" thickBot="1" x14ac:dyDescent="0.3">
      <c r="A678" s="6"/>
      <c r="B678" s="36"/>
      <c r="C678" s="37"/>
      <c r="D678" s="38"/>
      <c r="E678" s="37"/>
      <c r="F678" s="7"/>
      <c r="K678" s="37"/>
      <c r="L678" s="60"/>
      <c r="M678" s="37"/>
      <c r="N678" s="36"/>
      <c r="O678" s="37"/>
      <c r="P678" s="37"/>
      <c r="Q678" s="37"/>
      <c r="R678" s="37"/>
      <c r="S678" s="37"/>
    </row>
    <row r="679" spans="1:19" ht="15.75" thickBot="1" x14ac:dyDescent="0.3">
      <c r="A679" s="1" t="s">
        <v>19</v>
      </c>
      <c r="B679" s="13"/>
      <c r="C679" s="14"/>
      <c r="D679" s="15"/>
      <c r="E679" s="14"/>
      <c r="F679" s="16"/>
      <c r="K679" s="37"/>
      <c r="L679" s="60"/>
      <c r="M679" s="57"/>
      <c r="N679" s="74"/>
      <c r="O679" s="57"/>
      <c r="P679" s="57"/>
      <c r="Q679" s="57"/>
      <c r="R679" s="57"/>
      <c r="S679" s="37"/>
    </row>
    <row r="680" spans="1:19" ht="25.5" customHeight="1" x14ac:dyDescent="0.25">
      <c r="A680" s="95"/>
      <c r="B680" s="96" t="s">
        <v>30</v>
      </c>
      <c r="C680" s="97" t="s">
        <v>29</v>
      </c>
      <c r="D680" s="20">
        <v>0.08</v>
      </c>
      <c r="E680" s="183">
        <v>164667</v>
      </c>
      <c r="F680" s="184">
        <f>ROUND(D680*E680,)</f>
        <v>13173</v>
      </c>
      <c r="K680" s="37"/>
      <c r="L680" s="60"/>
      <c r="M680" s="37"/>
      <c r="N680" s="36"/>
      <c r="O680" s="37"/>
      <c r="P680" s="37"/>
      <c r="Q680" s="37"/>
      <c r="R680" s="37"/>
      <c r="S680" s="37"/>
    </row>
    <row r="681" spans="1:19" ht="15.75" thickBot="1" x14ac:dyDescent="0.3">
      <c r="A681" s="23"/>
      <c r="B681" s="78" t="s">
        <v>98</v>
      </c>
      <c r="C681" s="79" t="s">
        <v>29</v>
      </c>
      <c r="D681" s="80">
        <v>0.08</v>
      </c>
      <c r="E681" s="192">
        <v>133000</v>
      </c>
      <c r="F681" s="189">
        <f>ROUND(D681*E681,)</f>
        <v>10640</v>
      </c>
      <c r="K681" s="37"/>
      <c r="L681" s="60"/>
      <c r="M681" s="39"/>
      <c r="N681" s="53"/>
      <c r="O681" s="39"/>
      <c r="P681" s="39"/>
      <c r="Q681" s="39"/>
      <c r="R681" s="39"/>
      <c r="S681" s="37"/>
    </row>
    <row r="682" spans="1:19" ht="15.75" thickBot="1" x14ac:dyDescent="0.3">
      <c r="A682" s="6"/>
      <c r="B682" s="36"/>
      <c r="C682" s="37"/>
      <c r="D682" s="38"/>
      <c r="E682" s="39" t="s">
        <v>20</v>
      </c>
      <c r="F682" s="187">
        <f>+F680+F681</f>
        <v>23813</v>
      </c>
      <c r="K682" s="37"/>
      <c r="L682" s="60"/>
      <c r="M682" s="55"/>
      <c r="N682" s="337"/>
      <c r="O682" s="57"/>
      <c r="P682" s="116"/>
      <c r="Q682" s="59"/>
      <c r="R682" s="59"/>
      <c r="S682" s="37"/>
    </row>
    <row r="683" spans="1:19" ht="15.75" thickBot="1" x14ac:dyDescent="0.3">
      <c r="A683" s="6"/>
      <c r="B683" s="36"/>
      <c r="C683" s="37"/>
      <c r="D683" s="38"/>
      <c r="E683" s="37"/>
      <c r="F683" s="7"/>
      <c r="K683" s="37"/>
      <c r="L683" s="60"/>
      <c r="M683" s="60"/>
      <c r="N683" s="50"/>
      <c r="O683" s="61"/>
      <c r="P683" s="116"/>
      <c r="Q683" s="59"/>
      <c r="R683" s="59"/>
      <c r="S683" s="37"/>
    </row>
    <row r="684" spans="1:19" ht="15.75" thickBot="1" x14ac:dyDescent="0.3">
      <c r="A684" s="44" t="s">
        <v>21</v>
      </c>
      <c r="B684" s="45"/>
      <c r="C684" s="46"/>
      <c r="D684" s="47"/>
      <c r="E684" s="46"/>
      <c r="F684" s="48"/>
      <c r="K684" s="37"/>
      <c r="L684" s="60"/>
      <c r="M684" s="37"/>
      <c r="N684" s="36"/>
      <c r="O684" s="37"/>
      <c r="P684" s="37"/>
      <c r="Q684" s="39"/>
      <c r="R684" s="59"/>
      <c r="S684" s="37"/>
    </row>
    <row r="685" spans="1:19" x14ac:dyDescent="0.25">
      <c r="A685" s="122"/>
      <c r="B685" s="87"/>
      <c r="C685" s="88"/>
      <c r="D685" s="123"/>
      <c r="E685" s="182"/>
      <c r="F685" s="210">
        <f t="shared" ref="F685:F687" si="45">ROUND(D685*E685,)</f>
        <v>0</v>
      </c>
      <c r="K685" s="37"/>
      <c r="L685" s="60"/>
      <c r="M685" s="37"/>
      <c r="N685" s="36"/>
      <c r="O685" s="37"/>
      <c r="P685" s="37"/>
      <c r="Q685" s="37"/>
      <c r="R685" s="37"/>
      <c r="S685" s="37"/>
    </row>
    <row r="686" spans="1:19" x14ac:dyDescent="0.25">
      <c r="A686" s="108"/>
      <c r="B686" s="87"/>
      <c r="C686" s="88"/>
      <c r="D686" s="115"/>
      <c r="E686" s="180"/>
      <c r="F686" s="196">
        <f t="shared" si="45"/>
        <v>0</v>
      </c>
      <c r="K686" s="37"/>
      <c r="L686" s="60"/>
      <c r="M686" s="39"/>
      <c r="N686" s="53"/>
      <c r="O686" s="39"/>
      <c r="P686" s="39"/>
      <c r="Q686" s="39"/>
      <c r="R686" s="39"/>
      <c r="S686" s="37"/>
    </row>
    <row r="687" spans="1:19" ht="15.75" thickBot="1" x14ac:dyDescent="0.3">
      <c r="A687" s="23"/>
      <c r="B687" s="24" t="s">
        <v>34</v>
      </c>
      <c r="C687" s="25" t="s">
        <v>35</v>
      </c>
      <c r="D687" s="26">
        <v>0.02</v>
      </c>
      <c r="E687" s="192">
        <v>1700</v>
      </c>
      <c r="F687" s="186">
        <f t="shared" si="45"/>
        <v>34</v>
      </c>
      <c r="K687" s="37"/>
      <c r="L687" s="60"/>
      <c r="M687" s="60"/>
      <c r="N687" s="50"/>
      <c r="O687" s="61"/>
      <c r="P687" s="58"/>
      <c r="Q687" s="59"/>
      <c r="R687" s="59"/>
      <c r="S687" s="37"/>
    </row>
    <row r="688" spans="1:19" ht="15.75" thickBot="1" x14ac:dyDescent="0.3">
      <c r="A688" s="6"/>
      <c r="B688" s="36"/>
      <c r="C688" s="37"/>
      <c r="D688" s="38"/>
      <c r="E688" s="39" t="s">
        <v>22</v>
      </c>
      <c r="F688" s="187">
        <f>SUM(F685:F687)</f>
        <v>34</v>
      </c>
      <c r="K688" s="37"/>
      <c r="L688" s="60"/>
      <c r="M688" s="55"/>
      <c r="N688" s="337"/>
      <c r="O688" s="57"/>
      <c r="P688" s="116"/>
      <c r="Q688" s="59"/>
      <c r="R688" s="59"/>
      <c r="S688" s="37"/>
    </row>
    <row r="689" spans="1:19" ht="15.75" thickBot="1" x14ac:dyDescent="0.3">
      <c r="A689" s="6"/>
      <c r="B689" s="36"/>
      <c r="C689" s="37"/>
      <c r="D689" s="38"/>
      <c r="E689" s="37"/>
      <c r="F689" s="7"/>
      <c r="K689" s="37"/>
      <c r="L689" s="60"/>
      <c r="M689" s="37"/>
      <c r="N689" s="36"/>
      <c r="O689" s="37"/>
      <c r="P689" s="37"/>
      <c r="Q689" s="39"/>
      <c r="R689" s="59"/>
      <c r="S689" s="37"/>
    </row>
    <row r="690" spans="1:19" ht="15.75" thickBot="1" x14ac:dyDescent="0.3">
      <c r="A690" s="44" t="s">
        <v>23</v>
      </c>
      <c r="B690" s="45"/>
      <c r="C690" s="46"/>
      <c r="D690" s="47"/>
      <c r="E690" s="46"/>
      <c r="F690" s="48"/>
      <c r="K690" s="37"/>
      <c r="L690" s="60"/>
      <c r="M690" s="37"/>
      <c r="N690" s="36"/>
      <c r="O690" s="37"/>
      <c r="P690" s="37"/>
      <c r="Q690" s="37"/>
      <c r="R690" s="37"/>
      <c r="S690" s="37"/>
    </row>
    <row r="691" spans="1:19" x14ac:dyDescent="0.25">
      <c r="A691" s="17"/>
      <c r="B691" s="96" t="s">
        <v>28</v>
      </c>
      <c r="C691" s="97" t="s">
        <v>42</v>
      </c>
      <c r="D691" s="244">
        <v>0.08</v>
      </c>
      <c r="E691" s="101">
        <v>124400</v>
      </c>
      <c r="F691" s="254">
        <f>ROUND(D691*E691,)</f>
        <v>9952</v>
      </c>
      <c r="K691" s="37"/>
      <c r="L691" s="60"/>
      <c r="M691" s="39"/>
      <c r="N691" s="53"/>
      <c r="O691" s="39"/>
      <c r="P691" s="39"/>
      <c r="Q691" s="39"/>
      <c r="R691" s="39"/>
      <c r="S691" s="37"/>
    </row>
    <row r="692" spans="1:19" ht="17.25" customHeight="1" x14ac:dyDescent="0.25">
      <c r="A692" s="91"/>
      <c r="B692" s="158" t="s">
        <v>85</v>
      </c>
      <c r="C692" s="151" t="s">
        <v>49</v>
      </c>
      <c r="D692" s="276">
        <v>0.1</v>
      </c>
      <c r="E692" s="205">
        <v>55300</v>
      </c>
      <c r="F692" s="188">
        <f>ROUND(D692*E692,)</f>
        <v>5530</v>
      </c>
      <c r="K692" s="37"/>
      <c r="L692" s="60"/>
      <c r="M692" s="55"/>
      <c r="N692" s="337"/>
      <c r="O692" s="57"/>
      <c r="P692" s="116"/>
      <c r="Q692" s="59"/>
      <c r="R692" s="59"/>
      <c r="S692" s="37"/>
    </row>
    <row r="693" spans="1:19" x14ac:dyDescent="0.25">
      <c r="A693" s="165"/>
      <c r="B693" s="85" t="s">
        <v>84</v>
      </c>
      <c r="C693" s="86" t="s">
        <v>33</v>
      </c>
      <c r="D693" s="278">
        <v>1.5</v>
      </c>
      <c r="E693" s="195">
        <v>739</v>
      </c>
      <c r="F693" s="211">
        <f t="shared" ref="F693:F695" si="46">ROUND(D693*E693,)</f>
        <v>1109</v>
      </c>
      <c r="K693" s="37"/>
      <c r="L693" s="60"/>
      <c r="M693" s="60"/>
      <c r="N693" s="50"/>
      <c r="O693" s="61"/>
      <c r="P693" s="116"/>
      <c r="Q693" s="59"/>
      <c r="R693" s="59"/>
      <c r="S693" s="37"/>
    </row>
    <row r="694" spans="1:19" x14ac:dyDescent="0.25">
      <c r="A694" s="91"/>
      <c r="B694" s="85" t="s">
        <v>46</v>
      </c>
      <c r="C694" s="86" t="s">
        <v>40</v>
      </c>
      <c r="D694" s="279">
        <v>1</v>
      </c>
      <c r="E694" s="195">
        <v>1900</v>
      </c>
      <c r="F694" s="185">
        <f t="shared" si="46"/>
        <v>1900</v>
      </c>
      <c r="K694" s="37"/>
      <c r="L694" s="60"/>
      <c r="M694" s="60"/>
      <c r="N694" s="50"/>
      <c r="O694" s="61"/>
      <c r="P694" s="116"/>
      <c r="Q694" s="59"/>
      <c r="R694" s="59"/>
      <c r="S694" s="37"/>
    </row>
    <row r="695" spans="1:19" x14ac:dyDescent="0.25">
      <c r="A695" s="91"/>
      <c r="B695" s="85" t="s">
        <v>86</v>
      </c>
      <c r="C695" s="86" t="s">
        <v>33</v>
      </c>
      <c r="D695" s="278">
        <v>1.5</v>
      </c>
      <c r="E695" s="195">
        <v>180</v>
      </c>
      <c r="F695" s="185">
        <f t="shared" si="46"/>
        <v>270</v>
      </c>
      <c r="K695" s="37"/>
      <c r="L695" s="60"/>
      <c r="M695" s="60"/>
      <c r="N695" s="50"/>
      <c r="O695" s="61"/>
      <c r="P695" s="116"/>
      <c r="Q695" s="59"/>
      <c r="R695" s="59"/>
      <c r="S695" s="37"/>
    </row>
    <row r="696" spans="1:19" ht="15.75" thickBot="1" x14ac:dyDescent="0.3">
      <c r="A696" s="30"/>
      <c r="B696" s="24"/>
      <c r="C696" s="25"/>
      <c r="D696" s="102"/>
      <c r="E696" s="164"/>
      <c r="F696" s="186"/>
      <c r="K696" s="37"/>
      <c r="L696" s="60"/>
      <c r="M696" s="37"/>
      <c r="N696" s="36"/>
      <c r="O696" s="37"/>
      <c r="P696" s="37"/>
      <c r="Q696" s="39"/>
      <c r="R696" s="59"/>
      <c r="S696" s="37"/>
    </row>
    <row r="697" spans="1:19" ht="15.75" thickBot="1" x14ac:dyDescent="0.3">
      <c r="A697" s="6"/>
      <c r="B697" s="50"/>
      <c r="C697" s="61"/>
      <c r="D697" s="37"/>
      <c r="E697" s="39" t="s">
        <v>24</v>
      </c>
      <c r="F697" s="187">
        <f>SUM(F691:F696)</f>
        <v>18761</v>
      </c>
      <c r="K697" s="37"/>
      <c r="L697" s="60"/>
      <c r="M697" s="37"/>
      <c r="N697" s="36"/>
      <c r="O697" s="37"/>
      <c r="P697" s="37"/>
      <c r="Q697" s="37"/>
      <c r="R697" s="37"/>
      <c r="S697" s="37"/>
    </row>
    <row r="698" spans="1:19" ht="15.75" thickBot="1" x14ac:dyDescent="0.3">
      <c r="A698" s="155"/>
      <c r="B698" s="9"/>
      <c r="C698" s="156"/>
      <c r="D698" s="10"/>
      <c r="E698" s="39"/>
      <c r="F698" s="144"/>
      <c r="K698" s="37"/>
      <c r="L698" s="60"/>
      <c r="M698" s="39"/>
      <c r="N698" s="143"/>
      <c r="O698" s="39"/>
      <c r="P698" s="39"/>
      <c r="Q698" s="39"/>
      <c r="R698" s="39"/>
      <c r="S698" s="37"/>
    </row>
    <row r="699" spans="1:19" ht="15.75" thickBot="1" x14ac:dyDescent="0.3">
      <c r="A699" s="69" t="s">
        <v>12</v>
      </c>
      <c r="B699" s="64" t="s">
        <v>25</v>
      </c>
      <c r="C699" s="65"/>
      <c r="D699" s="66"/>
      <c r="E699" s="67"/>
      <c r="F699" s="351">
        <f>+F697+F688+F682</f>
        <v>42608</v>
      </c>
      <c r="H699" s="126"/>
      <c r="K699" s="37"/>
      <c r="L699" s="60"/>
      <c r="M699" s="55"/>
      <c r="N699" s="337"/>
      <c r="O699" s="57"/>
      <c r="P699" s="116"/>
      <c r="Q699" s="59"/>
      <c r="R699" s="59"/>
      <c r="S699" s="37"/>
    </row>
    <row r="700" spans="1:19" ht="15.75" thickBot="1" x14ac:dyDescent="0.3">
      <c r="A700" s="37"/>
      <c r="B700" s="36"/>
      <c r="C700" s="37"/>
      <c r="D700" s="37"/>
      <c r="E700" s="39"/>
      <c r="F700" s="59"/>
      <c r="K700" s="37"/>
      <c r="L700" s="60"/>
      <c r="M700" s="37"/>
      <c r="N700" s="36"/>
      <c r="O700" s="37"/>
      <c r="P700" s="37"/>
      <c r="Q700" s="39"/>
      <c r="R700" s="59"/>
      <c r="S700" s="37"/>
    </row>
    <row r="701" spans="1:19" ht="32.25" customHeight="1" x14ac:dyDescent="0.25">
      <c r="A701" s="1" t="s">
        <v>47</v>
      </c>
      <c r="B701" s="355" t="s">
        <v>190</v>
      </c>
      <c r="C701" s="355"/>
      <c r="D701" s="355"/>
      <c r="E701" s="3"/>
      <c r="F701" s="5" t="s">
        <v>15</v>
      </c>
      <c r="K701" s="37"/>
      <c r="L701" s="60"/>
      <c r="M701" s="37"/>
      <c r="N701" s="36"/>
      <c r="O701" s="37"/>
      <c r="P701" s="37"/>
      <c r="Q701" s="37"/>
      <c r="R701" s="37"/>
      <c r="S701" s="37"/>
    </row>
    <row r="702" spans="1:19" ht="15.75" thickBot="1" x14ac:dyDescent="0.3">
      <c r="A702" s="70" t="s">
        <v>9</v>
      </c>
      <c r="B702" s="71">
        <v>2.13</v>
      </c>
      <c r="C702" s="10"/>
      <c r="D702" s="11"/>
      <c r="E702" s="10"/>
      <c r="F702" s="72" t="s">
        <v>26</v>
      </c>
      <c r="K702" s="37"/>
      <c r="L702" s="60"/>
      <c r="M702" s="39"/>
      <c r="N702" s="53"/>
      <c r="O702" s="39"/>
      <c r="P702" s="39"/>
      <c r="Q702" s="39"/>
      <c r="R702" s="39"/>
      <c r="S702" s="37"/>
    </row>
    <row r="703" spans="1:19" ht="15.75" thickBot="1" x14ac:dyDescent="0.3">
      <c r="A703" s="6"/>
      <c r="B703" s="36"/>
      <c r="C703" s="37"/>
      <c r="D703" s="38"/>
      <c r="E703" s="37"/>
      <c r="F703" s="7"/>
      <c r="K703" s="37"/>
      <c r="L703" s="60"/>
      <c r="M703" s="55"/>
      <c r="N703" s="56"/>
      <c r="O703" s="57"/>
      <c r="P703" s="116"/>
      <c r="Q703" s="59"/>
      <c r="R703" s="59"/>
      <c r="S703" s="37"/>
    </row>
    <row r="704" spans="1:19" ht="15.75" thickBot="1" x14ac:dyDescent="0.3">
      <c r="A704" s="33" t="s">
        <v>179</v>
      </c>
      <c r="B704" s="40" t="s">
        <v>47</v>
      </c>
      <c r="C704" s="34" t="s">
        <v>15</v>
      </c>
      <c r="D704" s="35" t="s">
        <v>16</v>
      </c>
      <c r="E704" s="34" t="s">
        <v>17</v>
      </c>
      <c r="F704" s="41" t="s">
        <v>18</v>
      </c>
      <c r="K704" s="37"/>
      <c r="L704" s="60"/>
      <c r="M704" s="37"/>
      <c r="N704" s="36"/>
      <c r="O704" s="37"/>
      <c r="P704" s="37"/>
      <c r="Q704" s="39"/>
      <c r="R704" s="59"/>
      <c r="S704" s="37"/>
    </row>
    <row r="705" spans="1:19" ht="15.75" thickBot="1" x14ac:dyDescent="0.3">
      <c r="A705" s="6"/>
      <c r="B705" s="36"/>
      <c r="C705" s="37"/>
      <c r="D705" s="38"/>
      <c r="E705" s="37"/>
      <c r="F705" s="7"/>
      <c r="K705" s="37"/>
      <c r="L705" s="60"/>
      <c r="M705" s="37"/>
      <c r="N705" s="36"/>
      <c r="O705" s="37"/>
      <c r="P705" s="37"/>
      <c r="Q705" s="37"/>
      <c r="R705" s="37"/>
      <c r="S705" s="37"/>
    </row>
    <row r="706" spans="1:19" ht="15.75" thickBot="1" x14ac:dyDescent="0.3">
      <c r="A706" s="1" t="s">
        <v>19</v>
      </c>
      <c r="B706" s="13"/>
      <c r="C706" s="14"/>
      <c r="D706" s="15"/>
      <c r="E706" s="14"/>
      <c r="F706" s="16"/>
      <c r="K706" s="37"/>
      <c r="L706" s="60"/>
      <c r="M706" s="37"/>
      <c r="N706" s="56"/>
      <c r="O706" s="37"/>
      <c r="P706" s="37"/>
      <c r="Q706" s="37"/>
      <c r="R706" s="57"/>
      <c r="S706" s="37"/>
    </row>
    <row r="707" spans="1:19" ht="30" x14ac:dyDescent="0.25">
      <c r="A707" s="95"/>
      <c r="B707" s="96" t="s">
        <v>30</v>
      </c>
      <c r="C707" s="97" t="s">
        <v>29</v>
      </c>
      <c r="D707" s="20">
        <v>9.1999999999999998E-2</v>
      </c>
      <c r="E707" s="183">
        <v>164667</v>
      </c>
      <c r="F707" s="184">
        <f>ROUND(D707*E707,)</f>
        <v>15149</v>
      </c>
      <c r="K707" s="37"/>
      <c r="L707" s="60"/>
      <c r="M707" s="37"/>
      <c r="N707" s="36"/>
      <c r="O707" s="37"/>
      <c r="P707" s="37"/>
      <c r="Q707" s="37"/>
      <c r="R707" s="37"/>
      <c r="S707" s="37"/>
    </row>
    <row r="708" spans="1:19" ht="15.75" thickBot="1" x14ac:dyDescent="0.3">
      <c r="A708" s="23"/>
      <c r="B708" s="78" t="s">
        <v>98</v>
      </c>
      <c r="C708" s="79" t="s">
        <v>29</v>
      </c>
      <c r="D708" s="80">
        <v>0.08</v>
      </c>
      <c r="E708" s="192">
        <v>133000</v>
      </c>
      <c r="F708" s="189">
        <f>ROUND(D708*E708,)</f>
        <v>10640</v>
      </c>
      <c r="K708" s="37"/>
      <c r="L708" s="60"/>
      <c r="M708" s="39"/>
      <c r="N708" s="50"/>
      <c r="O708" s="37"/>
      <c r="P708" s="37"/>
      <c r="Q708" s="37"/>
      <c r="R708" s="37"/>
      <c r="S708" s="37"/>
    </row>
    <row r="709" spans="1:19" ht="15.75" thickBot="1" x14ac:dyDescent="0.3">
      <c r="A709" s="6"/>
      <c r="B709" s="36"/>
      <c r="C709" s="37"/>
      <c r="D709" s="38"/>
      <c r="E709" s="39" t="s">
        <v>20</v>
      </c>
      <c r="F709" s="187">
        <f>+F707+F708</f>
        <v>25789</v>
      </c>
      <c r="K709" s="37"/>
      <c r="L709" s="60"/>
      <c r="M709" s="37"/>
      <c r="N709" s="36"/>
      <c r="O709" s="37"/>
      <c r="P709" s="37"/>
      <c r="Q709" s="37"/>
      <c r="R709" s="37"/>
      <c r="S709" s="37"/>
    </row>
    <row r="710" spans="1:19" ht="15.75" thickBot="1" x14ac:dyDescent="0.3">
      <c r="A710" s="6"/>
      <c r="B710" s="36"/>
      <c r="C710" s="37"/>
      <c r="D710" s="38"/>
      <c r="E710" s="37"/>
      <c r="F710" s="7"/>
      <c r="K710" s="37"/>
      <c r="L710" s="60"/>
      <c r="M710" s="57"/>
      <c r="N710" s="74"/>
      <c r="O710" s="57"/>
      <c r="P710" s="57"/>
      <c r="Q710" s="57"/>
      <c r="R710" s="57"/>
      <c r="S710" s="37"/>
    </row>
    <row r="711" spans="1:19" ht="15.75" thickBot="1" x14ac:dyDescent="0.3">
      <c r="A711" s="44" t="s">
        <v>21</v>
      </c>
      <c r="B711" s="45"/>
      <c r="C711" s="46"/>
      <c r="D711" s="47"/>
      <c r="E711" s="46"/>
      <c r="F711" s="48"/>
      <c r="K711" s="37"/>
      <c r="L711" s="60"/>
      <c r="M711" s="37"/>
      <c r="N711" s="36"/>
      <c r="O711" s="37"/>
      <c r="P711" s="37"/>
      <c r="Q711" s="37"/>
      <c r="R711" s="37"/>
      <c r="S711" s="37"/>
    </row>
    <row r="712" spans="1:19" x14ac:dyDescent="0.25">
      <c r="A712" s="122"/>
      <c r="B712" s="87"/>
      <c r="C712" s="88"/>
      <c r="D712" s="123"/>
      <c r="E712" s="182"/>
      <c r="F712" s="210">
        <f t="shared" ref="F712:F713" si="47">ROUND(D712*E712,)</f>
        <v>0</v>
      </c>
      <c r="K712" s="37"/>
      <c r="L712" s="60"/>
      <c r="M712" s="39"/>
      <c r="N712" s="53"/>
      <c r="O712" s="39"/>
      <c r="P712" s="39"/>
      <c r="Q712" s="39"/>
      <c r="R712" s="39"/>
      <c r="S712" s="37"/>
    </row>
    <row r="713" spans="1:19" ht="15.75" thickBot="1" x14ac:dyDescent="0.3">
      <c r="A713" s="23"/>
      <c r="B713" s="24" t="s">
        <v>34</v>
      </c>
      <c r="C713" s="25" t="s">
        <v>35</v>
      </c>
      <c r="D713" s="26">
        <v>1.2</v>
      </c>
      <c r="E713" s="192">
        <v>1700</v>
      </c>
      <c r="F713" s="186">
        <f t="shared" si="47"/>
        <v>2040</v>
      </c>
      <c r="K713" s="37"/>
      <c r="L713" s="60"/>
      <c r="M713" s="60"/>
      <c r="N713" s="50"/>
      <c r="O713" s="61"/>
      <c r="P713" s="75"/>
      <c r="Q713" s="59"/>
      <c r="R713" s="59"/>
      <c r="S713" s="37"/>
    </row>
    <row r="714" spans="1:19" ht="15.75" thickBot="1" x14ac:dyDescent="0.3">
      <c r="A714" s="6"/>
      <c r="B714" s="36"/>
      <c r="C714" s="37"/>
      <c r="D714" s="38"/>
      <c r="E714" s="39" t="s">
        <v>22</v>
      </c>
      <c r="F714" s="187">
        <f>SUM(F712:F713)</f>
        <v>2040</v>
      </c>
      <c r="K714" s="37"/>
      <c r="L714" s="60"/>
      <c r="M714" s="37"/>
      <c r="N714" s="36"/>
      <c r="O714" s="37"/>
      <c r="P714" s="37"/>
      <c r="Q714" s="39"/>
      <c r="R714" s="59"/>
      <c r="S714" s="37"/>
    </row>
    <row r="715" spans="1:19" ht="15.75" thickBot="1" x14ac:dyDescent="0.3">
      <c r="A715" s="6"/>
      <c r="B715" s="36"/>
      <c r="C715" s="37"/>
      <c r="D715" s="38"/>
      <c r="E715" s="37"/>
      <c r="F715" s="7"/>
      <c r="K715" s="37"/>
      <c r="L715" s="60"/>
      <c r="M715" s="37"/>
      <c r="N715" s="36"/>
      <c r="O715" s="37"/>
      <c r="P715" s="37"/>
      <c r="Q715" s="37"/>
      <c r="R715" s="37"/>
      <c r="S715" s="37"/>
    </row>
    <row r="716" spans="1:19" ht="15.75" thickBot="1" x14ac:dyDescent="0.3">
      <c r="A716" s="44" t="s">
        <v>23</v>
      </c>
      <c r="B716" s="45"/>
      <c r="C716" s="46"/>
      <c r="D716" s="47"/>
      <c r="E716" s="46"/>
      <c r="F716" s="48"/>
      <c r="K716" s="37"/>
      <c r="L716" s="60"/>
      <c r="M716" s="39"/>
      <c r="N716" s="53"/>
      <c r="O716" s="39"/>
      <c r="P716" s="39"/>
      <c r="Q716" s="39"/>
      <c r="R716" s="39"/>
      <c r="S716" s="37"/>
    </row>
    <row r="717" spans="1:19" x14ac:dyDescent="0.25">
      <c r="A717" s="17"/>
      <c r="B717" s="96"/>
      <c r="C717" s="97"/>
      <c r="D717" s="154"/>
      <c r="E717" s="202"/>
      <c r="F717" s="184">
        <f>ROUND(D717*E717,)</f>
        <v>0</v>
      </c>
      <c r="K717" s="37"/>
      <c r="L717" s="60"/>
      <c r="M717" s="55"/>
      <c r="N717" s="56"/>
      <c r="O717" s="57"/>
      <c r="P717" s="75"/>
      <c r="Q717" s="59"/>
      <c r="R717" s="59"/>
      <c r="S717" s="37"/>
    </row>
    <row r="718" spans="1:19" x14ac:dyDescent="0.25">
      <c r="A718" s="91"/>
      <c r="B718" s="243" t="s">
        <v>87</v>
      </c>
      <c r="C718" s="151" t="s">
        <v>26</v>
      </c>
      <c r="D718" s="276">
        <v>1</v>
      </c>
      <c r="E718" s="205">
        <v>180000</v>
      </c>
      <c r="F718" s="188">
        <f>ROUND(D718*E718,)</f>
        <v>180000</v>
      </c>
      <c r="K718" s="37"/>
      <c r="L718" s="60"/>
      <c r="M718" s="60"/>
      <c r="N718" s="50"/>
      <c r="O718" s="61"/>
      <c r="P718" s="58"/>
      <c r="Q718" s="59"/>
      <c r="R718" s="59"/>
      <c r="S718" s="37"/>
    </row>
    <row r="719" spans="1:19" ht="30" x14ac:dyDescent="0.25">
      <c r="A719" s="165"/>
      <c r="B719" s="239" t="s">
        <v>81</v>
      </c>
      <c r="C719" s="86" t="s">
        <v>26</v>
      </c>
      <c r="D719" s="278">
        <v>0.85</v>
      </c>
      <c r="E719" s="195">
        <v>130000</v>
      </c>
      <c r="F719" s="211">
        <f t="shared" ref="F719:F723" si="48">ROUND(D719*E719,)</f>
        <v>110500</v>
      </c>
      <c r="K719" s="37"/>
      <c r="L719" s="60"/>
      <c r="M719" s="37"/>
      <c r="N719" s="36"/>
      <c r="O719" s="37"/>
      <c r="P719" s="37"/>
      <c r="Q719" s="39"/>
      <c r="R719" s="59"/>
      <c r="S719" s="37"/>
    </row>
    <row r="720" spans="1:19" x14ac:dyDescent="0.25">
      <c r="A720" s="91"/>
      <c r="B720" s="85"/>
      <c r="C720" s="86"/>
      <c r="D720" s="150"/>
      <c r="E720" s="195"/>
      <c r="F720" s="185"/>
      <c r="K720" s="37"/>
      <c r="L720" s="60"/>
      <c r="M720" s="37"/>
      <c r="N720" s="36"/>
      <c r="O720" s="37"/>
      <c r="P720" s="37"/>
      <c r="Q720" s="37"/>
      <c r="R720" s="37"/>
      <c r="S720" s="37"/>
    </row>
    <row r="721" spans="1:19" x14ac:dyDescent="0.25">
      <c r="A721" s="91"/>
      <c r="B721" s="85"/>
      <c r="C721" s="86"/>
      <c r="D721" s="100"/>
      <c r="E721" s="195"/>
      <c r="F721" s="185">
        <f t="shared" si="48"/>
        <v>0</v>
      </c>
      <c r="K721" s="37"/>
      <c r="L721" s="60"/>
      <c r="M721" s="39"/>
      <c r="N721" s="53"/>
      <c r="O721" s="39"/>
      <c r="P721" s="39"/>
      <c r="Q721" s="39"/>
      <c r="R721" s="39"/>
      <c r="S721" s="37"/>
    </row>
    <row r="722" spans="1:19" x14ac:dyDescent="0.25">
      <c r="A722" s="161"/>
      <c r="B722" s="166"/>
      <c r="C722" s="167"/>
      <c r="D722" s="168"/>
      <c r="E722" s="213"/>
      <c r="F722" s="185">
        <f t="shared" si="48"/>
        <v>0</v>
      </c>
      <c r="K722" s="37"/>
      <c r="L722" s="60"/>
      <c r="M722" s="55"/>
      <c r="N722" s="56"/>
      <c r="O722" s="57"/>
      <c r="P722" s="75"/>
      <c r="Q722" s="59"/>
      <c r="R722" s="59"/>
      <c r="S722" s="37"/>
    </row>
    <row r="723" spans="1:19" ht="15.75" thickBot="1" x14ac:dyDescent="0.3">
      <c r="A723" s="30"/>
      <c r="B723" s="24"/>
      <c r="C723" s="25"/>
      <c r="D723" s="172"/>
      <c r="E723" s="208"/>
      <c r="F723" s="186">
        <f t="shared" si="48"/>
        <v>0</v>
      </c>
      <c r="K723" s="37"/>
      <c r="L723" s="60"/>
      <c r="M723" s="55"/>
      <c r="N723" s="56"/>
      <c r="O723" s="57"/>
      <c r="P723" s="75"/>
      <c r="Q723" s="59"/>
      <c r="R723" s="59"/>
      <c r="S723" s="37"/>
    </row>
    <row r="724" spans="1:19" ht="15.75" thickBot="1" x14ac:dyDescent="0.3">
      <c r="A724" s="6"/>
      <c r="B724" s="50"/>
      <c r="C724" s="61"/>
      <c r="D724" s="37"/>
      <c r="E724" s="39" t="s">
        <v>24</v>
      </c>
      <c r="F724" s="187">
        <f>SUM(F717:F723)</f>
        <v>290500</v>
      </c>
      <c r="K724" s="37"/>
      <c r="L724" s="60"/>
      <c r="M724" s="55"/>
      <c r="N724" s="56"/>
      <c r="O724" s="57"/>
      <c r="P724" s="75"/>
      <c r="Q724" s="59"/>
      <c r="R724" s="59"/>
      <c r="S724" s="37"/>
    </row>
    <row r="725" spans="1:19" ht="15.75" thickBot="1" x14ac:dyDescent="0.3">
      <c r="A725" s="155"/>
      <c r="B725" s="9"/>
      <c r="C725" s="156"/>
      <c r="D725" s="10"/>
      <c r="E725" s="39"/>
      <c r="F725" s="144"/>
      <c r="K725" s="37"/>
      <c r="L725" s="60"/>
      <c r="M725" s="55"/>
      <c r="N725" s="143"/>
      <c r="O725" s="57"/>
      <c r="P725" s="75"/>
      <c r="Q725" s="59"/>
      <c r="R725" s="59"/>
      <c r="S725" s="37"/>
    </row>
    <row r="726" spans="1:19" ht="15.75" thickBot="1" x14ac:dyDescent="0.3">
      <c r="A726" s="69" t="s">
        <v>12</v>
      </c>
      <c r="B726" s="64" t="s">
        <v>25</v>
      </c>
      <c r="C726" s="65"/>
      <c r="D726" s="66"/>
      <c r="E726" s="67"/>
      <c r="F726" s="351">
        <f>+F724+F714+F709</f>
        <v>318329</v>
      </c>
      <c r="H726" s="126"/>
      <c r="K726" s="37"/>
      <c r="L726" s="60"/>
      <c r="M726" s="55"/>
      <c r="N726" s="56"/>
      <c r="O726" s="57"/>
      <c r="P726" s="75"/>
      <c r="Q726" s="59"/>
      <c r="R726" s="59"/>
      <c r="S726" s="37"/>
    </row>
    <row r="727" spans="1:19" ht="15.75" thickBot="1" x14ac:dyDescent="0.3">
      <c r="K727" s="37"/>
      <c r="L727" s="60"/>
      <c r="M727" s="55"/>
      <c r="N727" s="56"/>
      <c r="O727" s="57"/>
      <c r="P727" s="75"/>
      <c r="Q727" s="59"/>
      <c r="R727" s="59"/>
    </row>
    <row r="728" spans="1:19" ht="27" customHeight="1" x14ac:dyDescent="0.25">
      <c r="A728" s="1" t="s">
        <v>47</v>
      </c>
      <c r="B728" s="355" t="s">
        <v>152</v>
      </c>
      <c r="C728" s="355"/>
      <c r="D728" s="355"/>
      <c r="E728" s="3"/>
      <c r="F728" s="5" t="s">
        <v>15</v>
      </c>
      <c r="K728" s="37"/>
      <c r="L728" s="60"/>
      <c r="M728" s="37"/>
      <c r="N728" s="36"/>
      <c r="O728" s="37"/>
      <c r="P728" s="37"/>
      <c r="Q728" s="39"/>
      <c r="R728" s="59"/>
    </row>
    <row r="729" spans="1:19" ht="15.75" thickBot="1" x14ac:dyDescent="0.3">
      <c r="A729" s="70" t="s">
        <v>9</v>
      </c>
      <c r="B729" s="71">
        <v>2.14</v>
      </c>
      <c r="C729" s="10"/>
      <c r="D729" s="11"/>
      <c r="E729" s="10"/>
      <c r="F729" s="72" t="s">
        <v>26</v>
      </c>
      <c r="K729" s="37"/>
      <c r="L729" s="60"/>
      <c r="M729" s="37"/>
      <c r="N729" s="36"/>
      <c r="O729" s="37"/>
      <c r="P729" s="37"/>
      <c r="Q729" s="39"/>
      <c r="R729" s="59"/>
    </row>
    <row r="730" spans="1:19" ht="15.75" thickBot="1" x14ac:dyDescent="0.3">
      <c r="A730" s="6"/>
      <c r="B730" s="36"/>
      <c r="C730" s="37"/>
      <c r="D730" s="38"/>
      <c r="E730" s="37"/>
      <c r="F730" s="7"/>
      <c r="K730" s="37"/>
      <c r="L730" s="60"/>
      <c r="M730" s="37"/>
      <c r="N730" s="36"/>
      <c r="O730" s="37"/>
      <c r="P730" s="37"/>
      <c r="Q730" s="39"/>
      <c r="R730" s="59"/>
    </row>
    <row r="731" spans="1:19" ht="15.75" thickBot="1" x14ac:dyDescent="0.3">
      <c r="A731" s="33" t="s">
        <v>179</v>
      </c>
      <c r="B731" s="40" t="s">
        <v>47</v>
      </c>
      <c r="C731" s="34" t="s">
        <v>15</v>
      </c>
      <c r="D731" s="35" t="s">
        <v>16</v>
      </c>
      <c r="E731" s="34" t="s">
        <v>17</v>
      </c>
      <c r="F731" s="41" t="s">
        <v>18</v>
      </c>
      <c r="K731" s="37"/>
      <c r="L731" s="60"/>
      <c r="M731" s="37"/>
      <c r="N731" s="36"/>
      <c r="O731" s="37"/>
      <c r="P731" s="37"/>
      <c r="Q731" s="39"/>
      <c r="R731" s="59"/>
    </row>
    <row r="732" spans="1:19" ht="15.75" thickBot="1" x14ac:dyDescent="0.3">
      <c r="A732" s="6"/>
      <c r="B732" s="36"/>
      <c r="C732" s="37"/>
      <c r="D732" s="38"/>
      <c r="E732" s="37"/>
      <c r="F732" s="7"/>
      <c r="K732" s="37"/>
      <c r="L732" s="60"/>
      <c r="M732" s="37"/>
      <c r="N732" s="36"/>
      <c r="O732" s="37"/>
      <c r="P732" s="37"/>
      <c r="Q732" s="39"/>
      <c r="R732" s="59"/>
    </row>
    <row r="733" spans="1:19" ht="15.75" thickBot="1" x14ac:dyDescent="0.3">
      <c r="A733" s="1" t="s">
        <v>19</v>
      </c>
      <c r="B733" s="13"/>
      <c r="C733" s="14"/>
      <c r="D733" s="15"/>
      <c r="E733" s="14"/>
      <c r="F733" s="16"/>
      <c r="K733" s="37"/>
      <c r="L733" s="60"/>
      <c r="M733" s="37"/>
      <c r="N733" s="36"/>
      <c r="O733" s="37"/>
      <c r="P733" s="37"/>
      <c r="Q733" s="39"/>
      <c r="R733" s="59"/>
    </row>
    <row r="734" spans="1:19" ht="27" customHeight="1" x14ac:dyDescent="0.25">
      <c r="A734" s="95"/>
      <c r="B734" s="96" t="s">
        <v>30</v>
      </c>
      <c r="C734" s="97" t="s">
        <v>29</v>
      </c>
      <c r="D734" s="20">
        <v>7.6999999999999999E-2</v>
      </c>
      <c r="E734" s="183">
        <v>164667</v>
      </c>
      <c r="F734" s="216">
        <f>ROUND(D734*E734,)</f>
        <v>12679</v>
      </c>
      <c r="K734" s="37"/>
      <c r="L734" s="60"/>
      <c r="M734" s="37"/>
      <c r="N734" s="36"/>
      <c r="O734" s="37"/>
      <c r="P734" s="37"/>
      <c r="Q734" s="39"/>
      <c r="R734" s="59"/>
    </row>
    <row r="735" spans="1:19" ht="15.75" thickBot="1" x14ac:dyDescent="0.3">
      <c r="A735" s="23"/>
      <c r="B735" s="24"/>
      <c r="C735" s="25"/>
      <c r="D735" s="26"/>
      <c r="E735" s="181"/>
      <c r="F735" s="189">
        <f>ROUND(D735*E735,)</f>
        <v>0</v>
      </c>
      <c r="K735" s="37"/>
      <c r="L735" s="60"/>
      <c r="M735" s="37"/>
      <c r="N735" s="36"/>
      <c r="O735" s="37"/>
      <c r="P735" s="37"/>
      <c r="Q735" s="39"/>
      <c r="R735" s="59"/>
    </row>
    <row r="736" spans="1:19" ht="15.75" thickBot="1" x14ac:dyDescent="0.3">
      <c r="A736" s="6"/>
      <c r="B736" s="36"/>
      <c r="C736" s="37"/>
      <c r="D736" s="38"/>
      <c r="E736" s="39" t="s">
        <v>20</v>
      </c>
      <c r="F736" s="187">
        <f>+F734+F735</f>
        <v>12679</v>
      </c>
      <c r="K736" s="37"/>
      <c r="L736" s="60"/>
      <c r="M736" s="37"/>
      <c r="N736" s="36"/>
      <c r="O736" s="37"/>
      <c r="P736" s="37"/>
      <c r="Q736" s="39"/>
      <c r="R736" s="59"/>
    </row>
    <row r="737" spans="1:18" ht="15.75" thickBot="1" x14ac:dyDescent="0.3">
      <c r="A737" s="6"/>
      <c r="B737" s="36"/>
      <c r="C737" s="37"/>
      <c r="D737" s="38"/>
      <c r="E737" s="37"/>
      <c r="F737" s="7"/>
      <c r="K737" s="37"/>
      <c r="L737" s="60"/>
      <c r="M737" s="37"/>
      <c r="N737" s="36"/>
      <c r="O737" s="37"/>
      <c r="P737" s="37"/>
      <c r="Q737" s="39"/>
      <c r="R737" s="59"/>
    </row>
    <row r="738" spans="1:18" ht="15.75" thickBot="1" x14ac:dyDescent="0.3">
      <c r="A738" s="44" t="s">
        <v>21</v>
      </c>
      <c r="B738" s="45"/>
      <c r="C738" s="46"/>
      <c r="D738" s="47"/>
      <c r="E738" s="46"/>
      <c r="F738" s="48"/>
      <c r="K738" s="37"/>
      <c r="L738" s="60"/>
      <c r="M738" s="37"/>
      <c r="N738" s="36"/>
      <c r="O738" s="37"/>
      <c r="P738" s="37"/>
      <c r="Q738" s="39"/>
      <c r="R738" s="59"/>
    </row>
    <row r="739" spans="1:18" x14ac:dyDescent="0.25">
      <c r="A739" s="122"/>
      <c r="B739" s="87"/>
      <c r="C739" s="88"/>
      <c r="D739" s="123"/>
      <c r="E739" s="182"/>
      <c r="F739" s="210">
        <f t="shared" ref="F739:F740" si="49">ROUND(D739*E739,)</f>
        <v>0</v>
      </c>
      <c r="K739" s="37"/>
      <c r="L739" s="60"/>
      <c r="M739" s="37"/>
      <c r="N739" s="36"/>
      <c r="O739" s="37"/>
      <c r="P739" s="37"/>
      <c r="Q739" s="39"/>
      <c r="R739" s="59"/>
    </row>
    <row r="740" spans="1:18" ht="15.75" thickBot="1" x14ac:dyDescent="0.3">
      <c r="A740" s="23"/>
      <c r="B740" s="24" t="s">
        <v>34</v>
      </c>
      <c r="C740" s="25" t="s">
        <v>35</v>
      </c>
      <c r="D740" s="26">
        <v>2.7E-2</v>
      </c>
      <c r="E740" s="192">
        <v>1700</v>
      </c>
      <c r="F740" s="186">
        <f t="shared" si="49"/>
        <v>46</v>
      </c>
      <c r="K740" s="37"/>
      <c r="L740" s="60"/>
      <c r="M740" s="37"/>
      <c r="N740" s="36"/>
      <c r="O740" s="37"/>
      <c r="P740" s="37"/>
      <c r="Q740" s="39"/>
      <c r="R740" s="59"/>
    </row>
    <row r="741" spans="1:18" ht="15.75" thickBot="1" x14ac:dyDescent="0.3">
      <c r="A741" s="6"/>
      <c r="B741" s="36"/>
      <c r="C741" s="37"/>
      <c r="D741" s="38"/>
      <c r="E741" s="39" t="s">
        <v>22</v>
      </c>
      <c r="F741" s="187">
        <f>SUM(F739:F740)</f>
        <v>46</v>
      </c>
      <c r="K741" s="37"/>
      <c r="L741" s="60"/>
      <c r="M741" s="37"/>
      <c r="N741" s="36"/>
      <c r="O741" s="37"/>
      <c r="P741" s="37"/>
      <c r="Q741" s="39"/>
      <c r="R741" s="59"/>
    </row>
    <row r="742" spans="1:18" ht="15.75" thickBot="1" x14ac:dyDescent="0.3">
      <c r="A742" s="6"/>
      <c r="B742" s="36"/>
      <c r="C742" s="37"/>
      <c r="D742" s="38"/>
      <c r="E742" s="37"/>
      <c r="F742" s="7"/>
      <c r="K742" s="37"/>
      <c r="L742" s="60"/>
      <c r="M742" s="37"/>
      <c r="N742" s="36"/>
      <c r="O742" s="37"/>
      <c r="P742" s="37"/>
      <c r="Q742" s="39"/>
      <c r="R742" s="59"/>
    </row>
    <row r="743" spans="1:18" ht="15.75" thickBot="1" x14ac:dyDescent="0.3">
      <c r="A743" s="44" t="s">
        <v>23</v>
      </c>
      <c r="B743" s="45"/>
      <c r="C743" s="46"/>
      <c r="D743" s="47"/>
      <c r="E743" s="46"/>
      <c r="F743" s="48"/>
      <c r="K743" s="37"/>
      <c r="L743" s="60"/>
      <c r="M743" s="37"/>
      <c r="N743" s="36"/>
      <c r="O743" s="37"/>
      <c r="P743" s="37"/>
      <c r="Q743" s="39"/>
      <c r="R743" s="59"/>
    </row>
    <row r="744" spans="1:18" x14ac:dyDescent="0.25">
      <c r="A744" s="17"/>
      <c r="B744" s="96" t="s">
        <v>88</v>
      </c>
      <c r="C744" s="97" t="s">
        <v>26</v>
      </c>
      <c r="D744" s="244">
        <v>1</v>
      </c>
      <c r="E744" s="101">
        <v>54405</v>
      </c>
      <c r="F744" s="214">
        <f>ROUND(D744*E744,)</f>
        <v>54405</v>
      </c>
      <c r="K744" s="37"/>
      <c r="L744" s="60"/>
      <c r="M744" s="37"/>
      <c r="N744" s="36"/>
      <c r="O744" s="37"/>
      <c r="P744" s="37"/>
      <c r="Q744" s="39"/>
      <c r="R744" s="59"/>
    </row>
    <row r="745" spans="1:18" x14ac:dyDescent="0.25">
      <c r="A745" s="91"/>
      <c r="B745" s="158"/>
      <c r="C745" s="151"/>
      <c r="D745" s="152"/>
      <c r="E745" s="153"/>
      <c r="F745" s="188">
        <f>ROUND(D745*E745,)</f>
        <v>0</v>
      </c>
      <c r="K745" s="37"/>
      <c r="L745" s="60"/>
      <c r="M745" s="37"/>
      <c r="N745" s="36"/>
      <c r="O745" s="37"/>
      <c r="P745" s="37"/>
      <c r="Q745" s="39"/>
      <c r="R745" s="59"/>
    </row>
    <row r="746" spans="1:18" ht="15.75" thickBot="1" x14ac:dyDescent="0.3">
      <c r="A746" s="30"/>
      <c r="B746" s="24"/>
      <c r="C746" s="25"/>
      <c r="D746" s="172"/>
      <c r="E746" s="164"/>
      <c r="F746" s="186"/>
      <c r="K746" s="37"/>
      <c r="L746" s="60"/>
      <c r="M746" s="37"/>
      <c r="N746" s="36"/>
      <c r="O746" s="37"/>
      <c r="P746" s="37"/>
      <c r="Q746" s="39"/>
      <c r="R746" s="59"/>
    </row>
    <row r="747" spans="1:18" ht="15.75" thickBot="1" x14ac:dyDescent="0.3">
      <c r="A747" s="6"/>
      <c r="B747" s="50"/>
      <c r="C747" s="61"/>
      <c r="D747" s="37"/>
      <c r="E747" s="39" t="s">
        <v>24</v>
      </c>
      <c r="F747" s="187">
        <f>SUM(F744:F746)</f>
        <v>54405</v>
      </c>
      <c r="K747" s="37"/>
      <c r="L747" s="60"/>
      <c r="M747" s="37"/>
      <c r="N747" s="36"/>
      <c r="O747" s="37"/>
      <c r="P747" s="37"/>
      <c r="Q747" s="39"/>
      <c r="R747" s="59"/>
    </row>
    <row r="748" spans="1:18" ht="15.75" thickBot="1" x14ac:dyDescent="0.3">
      <c r="A748" s="155"/>
      <c r="B748" s="9"/>
      <c r="C748" s="156"/>
      <c r="D748" s="10"/>
      <c r="E748" s="39"/>
      <c r="F748" s="212"/>
      <c r="K748" s="37"/>
      <c r="L748" s="60"/>
      <c r="M748" s="37"/>
      <c r="N748" s="143"/>
      <c r="O748" s="37"/>
      <c r="P748" s="37"/>
      <c r="Q748" s="39"/>
      <c r="R748" s="59"/>
    </row>
    <row r="749" spans="1:18" ht="15.75" thickBot="1" x14ac:dyDescent="0.3">
      <c r="A749" s="69" t="s">
        <v>12</v>
      </c>
      <c r="B749" s="64" t="s">
        <v>25</v>
      </c>
      <c r="C749" s="65"/>
      <c r="D749" s="66"/>
      <c r="E749" s="67"/>
      <c r="F749" s="352">
        <f>+F747+F741+F736</f>
        <v>67130</v>
      </c>
      <c r="H749" s="126"/>
      <c r="K749" s="37"/>
      <c r="L749" s="60"/>
      <c r="M749" s="37"/>
      <c r="N749" s="36"/>
      <c r="O749" s="37"/>
      <c r="P749" s="37"/>
      <c r="Q749" s="39"/>
      <c r="R749" s="59"/>
    </row>
    <row r="750" spans="1:18" ht="15.75" thickBot="1" x14ac:dyDescent="0.3">
      <c r="K750" s="37"/>
      <c r="L750" s="60"/>
      <c r="M750" s="37"/>
      <c r="N750" s="36"/>
      <c r="O750" s="37"/>
      <c r="P750" s="37"/>
      <c r="Q750" s="39"/>
      <c r="R750" s="59"/>
    </row>
    <row r="751" spans="1:18" ht="28.5" customHeight="1" x14ac:dyDescent="0.25">
      <c r="A751" s="1" t="s">
        <v>47</v>
      </c>
      <c r="B751" s="355" t="s">
        <v>177</v>
      </c>
      <c r="C751" s="355"/>
      <c r="D751" s="355"/>
      <c r="E751" s="3"/>
      <c r="F751" s="146" t="s">
        <v>15</v>
      </c>
      <c r="K751" s="37"/>
      <c r="L751" s="60"/>
      <c r="M751" s="37"/>
      <c r="N751" s="36"/>
      <c r="O751" s="37"/>
      <c r="P751" s="37"/>
      <c r="Q751" s="39"/>
      <c r="R751" s="59"/>
    </row>
    <row r="752" spans="1:18" ht="15.75" thickBot="1" x14ac:dyDescent="0.3">
      <c r="A752" s="70" t="s">
        <v>9</v>
      </c>
      <c r="B752" s="71">
        <v>2.15</v>
      </c>
      <c r="C752" s="10"/>
      <c r="D752" s="11"/>
      <c r="E752" s="10"/>
      <c r="F752" s="72" t="s">
        <v>26</v>
      </c>
      <c r="K752" s="37"/>
      <c r="L752" s="60"/>
      <c r="M752" s="37"/>
      <c r="N752" s="36"/>
      <c r="O752" s="37"/>
      <c r="P752" s="37"/>
      <c r="Q752" s="39"/>
      <c r="R752" s="59"/>
    </row>
    <row r="753" spans="1:18" ht="15.75" thickBot="1" x14ac:dyDescent="0.3">
      <c r="A753" s="6"/>
      <c r="B753" s="36"/>
      <c r="C753" s="37"/>
      <c r="D753" s="38"/>
      <c r="E753" s="37"/>
      <c r="F753" s="7"/>
      <c r="K753" s="37"/>
      <c r="L753" s="60"/>
      <c r="M753" s="37"/>
      <c r="N753" s="36"/>
      <c r="O753" s="37"/>
      <c r="P753" s="37"/>
      <c r="Q753" s="39"/>
      <c r="R753" s="59"/>
    </row>
    <row r="754" spans="1:18" ht="15.75" thickBot="1" x14ac:dyDescent="0.3">
      <c r="A754" s="33" t="s">
        <v>179</v>
      </c>
      <c r="B754" s="40" t="s">
        <v>47</v>
      </c>
      <c r="C754" s="34" t="s">
        <v>15</v>
      </c>
      <c r="D754" s="35" t="s">
        <v>16</v>
      </c>
      <c r="E754" s="34" t="s">
        <v>17</v>
      </c>
      <c r="F754" s="41" t="s">
        <v>18</v>
      </c>
      <c r="K754" s="37"/>
      <c r="L754" s="60"/>
      <c r="M754" s="37"/>
      <c r="N754" s="36"/>
      <c r="O754" s="37"/>
      <c r="P754" s="37"/>
      <c r="Q754" s="39"/>
      <c r="R754" s="59"/>
    </row>
    <row r="755" spans="1:18" ht="15.75" thickBot="1" x14ac:dyDescent="0.3">
      <c r="A755" s="6"/>
      <c r="B755" s="36"/>
      <c r="C755" s="37"/>
      <c r="D755" s="38"/>
      <c r="E755" s="37"/>
      <c r="F755" s="7"/>
      <c r="K755" s="37"/>
      <c r="L755" s="60"/>
      <c r="M755" s="37"/>
      <c r="N755" s="36"/>
      <c r="O755" s="37"/>
      <c r="P755" s="37"/>
      <c r="Q755" s="39"/>
      <c r="R755" s="59"/>
    </row>
    <row r="756" spans="1:18" ht="15.75" thickBot="1" x14ac:dyDescent="0.3">
      <c r="A756" s="1" t="s">
        <v>19</v>
      </c>
      <c r="B756" s="13"/>
      <c r="C756" s="14"/>
      <c r="D756" s="15"/>
      <c r="E756" s="14"/>
      <c r="F756" s="16"/>
      <c r="K756" s="37"/>
      <c r="L756" s="60"/>
      <c r="M756" s="37"/>
      <c r="N756" s="36"/>
      <c r="O756" s="37"/>
      <c r="P756" s="37"/>
      <c r="Q756" s="39"/>
      <c r="R756" s="59"/>
    </row>
    <row r="757" spans="1:18" ht="26.25" customHeight="1" x14ac:dyDescent="0.25">
      <c r="A757" s="95"/>
      <c r="B757" s="96" t="s">
        <v>30</v>
      </c>
      <c r="C757" s="97" t="s">
        <v>29</v>
      </c>
      <c r="D757" s="20">
        <v>9.1999999999999998E-2</v>
      </c>
      <c r="E757" s="183">
        <v>164667</v>
      </c>
      <c r="F757" s="184">
        <f>ROUND(D757*E757,)</f>
        <v>15149</v>
      </c>
      <c r="K757" s="37"/>
      <c r="L757" s="60"/>
      <c r="M757" s="37"/>
      <c r="N757" s="36"/>
      <c r="O757" s="37"/>
      <c r="P757" s="37"/>
      <c r="Q757" s="39"/>
      <c r="R757" s="59"/>
    </row>
    <row r="758" spans="1:18" ht="15.75" thickBot="1" x14ac:dyDescent="0.3">
      <c r="A758" s="23"/>
      <c r="B758" s="78" t="s">
        <v>98</v>
      </c>
      <c r="C758" s="79" t="s">
        <v>29</v>
      </c>
      <c r="D758" s="80">
        <v>7.4999999999999997E-2</v>
      </c>
      <c r="E758" s="192">
        <v>133000</v>
      </c>
      <c r="F758" s="189">
        <f>ROUND(D758*E758,)</f>
        <v>9975</v>
      </c>
      <c r="K758" s="37"/>
      <c r="L758" s="60"/>
      <c r="M758" s="37"/>
      <c r="N758" s="36"/>
      <c r="O758" s="37"/>
      <c r="P758" s="37"/>
      <c r="Q758" s="39"/>
      <c r="R758" s="59"/>
    </row>
    <row r="759" spans="1:18" ht="15.75" thickBot="1" x14ac:dyDescent="0.3">
      <c r="A759" s="6"/>
      <c r="B759" s="36"/>
      <c r="C759" s="37"/>
      <c r="D759" s="38"/>
      <c r="E759" s="39" t="s">
        <v>20</v>
      </c>
      <c r="F759" s="187">
        <f>+F757+F758</f>
        <v>25124</v>
      </c>
      <c r="K759" s="37"/>
      <c r="L759" s="60"/>
      <c r="M759" s="37"/>
      <c r="N759" s="36"/>
      <c r="O759" s="37"/>
      <c r="P759" s="37"/>
      <c r="Q759" s="39"/>
      <c r="R759" s="59"/>
    </row>
    <row r="760" spans="1:18" ht="15.75" thickBot="1" x14ac:dyDescent="0.3">
      <c r="A760" s="6"/>
      <c r="B760" s="36"/>
      <c r="C760" s="37"/>
      <c r="D760" s="38"/>
      <c r="E760" s="37"/>
      <c r="F760" s="7"/>
      <c r="K760" s="37"/>
      <c r="L760" s="60"/>
      <c r="M760" s="37"/>
      <c r="N760" s="36"/>
      <c r="O760" s="37"/>
      <c r="P760" s="37"/>
      <c r="Q760" s="39"/>
      <c r="R760" s="59"/>
    </row>
    <row r="761" spans="1:18" ht="15.75" thickBot="1" x14ac:dyDescent="0.3">
      <c r="A761" s="44" t="s">
        <v>21</v>
      </c>
      <c r="B761" s="45"/>
      <c r="C761" s="46"/>
      <c r="D761" s="47"/>
      <c r="E761" s="46"/>
      <c r="F761" s="48"/>
      <c r="K761" s="37"/>
      <c r="L761" s="60"/>
      <c r="M761" s="37"/>
      <c r="N761" s="36"/>
      <c r="O761" s="37"/>
      <c r="P761" s="37"/>
      <c r="Q761" s="39"/>
      <c r="R761" s="59"/>
    </row>
    <row r="762" spans="1:18" x14ac:dyDescent="0.25">
      <c r="A762" s="122"/>
      <c r="B762" s="87"/>
      <c r="C762" s="88"/>
      <c r="D762" s="123"/>
      <c r="E762" s="182"/>
      <c r="F762" s="210">
        <f t="shared" ref="F762:F764" si="50">ROUND(D762*E762,)</f>
        <v>0</v>
      </c>
      <c r="K762" s="37"/>
      <c r="L762" s="60"/>
      <c r="M762" s="37"/>
      <c r="N762" s="36"/>
      <c r="O762" s="37"/>
      <c r="P762" s="37"/>
      <c r="Q762" s="39"/>
      <c r="R762" s="59"/>
    </row>
    <row r="763" spans="1:18" x14ac:dyDescent="0.25">
      <c r="A763" s="108"/>
      <c r="B763" s="43" t="s">
        <v>101</v>
      </c>
      <c r="C763" s="82" t="s">
        <v>32</v>
      </c>
      <c r="D763" s="115">
        <v>1.2E-2</v>
      </c>
      <c r="E763" s="180">
        <v>62433</v>
      </c>
      <c r="F763" s="196">
        <f t="shared" si="50"/>
        <v>749</v>
      </c>
      <c r="K763" s="37"/>
      <c r="L763" s="60"/>
      <c r="M763" s="37"/>
      <c r="N763" s="36"/>
      <c r="O763" s="37"/>
      <c r="P763" s="37"/>
      <c r="Q763" s="39"/>
      <c r="R763" s="59"/>
    </row>
    <row r="764" spans="1:18" ht="15.75" thickBot="1" x14ac:dyDescent="0.3">
      <c r="A764" s="23"/>
      <c r="B764" s="24" t="s">
        <v>34</v>
      </c>
      <c r="C764" s="25" t="s">
        <v>35</v>
      </c>
      <c r="D764" s="26">
        <v>0.02</v>
      </c>
      <c r="E764" s="192">
        <v>1700</v>
      </c>
      <c r="F764" s="186">
        <f t="shared" si="50"/>
        <v>34</v>
      </c>
      <c r="K764" s="37"/>
      <c r="L764" s="60"/>
      <c r="M764" s="37"/>
      <c r="N764" s="36"/>
      <c r="O764" s="37"/>
      <c r="P764" s="37"/>
      <c r="Q764" s="39"/>
      <c r="R764" s="59"/>
    </row>
    <row r="765" spans="1:18" ht="15.75" thickBot="1" x14ac:dyDescent="0.3">
      <c r="A765" s="6"/>
      <c r="B765" s="36"/>
      <c r="C765" s="37"/>
      <c r="D765" s="38"/>
      <c r="E765" s="39" t="s">
        <v>22</v>
      </c>
      <c r="F765" s="187">
        <f>SUM(F762:F764)</f>
        <v>783</v>
      </c>
      <c r="K765" s="37"/>
      <c r="L765" s="60"/>
      <c r="M765" s="37"/>
      <c r="N765" s="36"/>
      <c r="O765" s="37"/>
      <c r="P765" s="37"/>
      <c r="Q765" s="39"/>
      <c r="R765" s="59"/>
    </row>
    <row r="766" spans="1:18" ht="15.75" thickBot="1" x14ac:dyDescent="0.3">
      <c r="A766" s="6"/>
      <c r="B766" s="36"/>
      <c r="C766" s="37"/>
      <c r="D766" s="38"/>
      <c r="E766" s="37"/>
      <c r="F766" s="7"/>
      <c r="K766" s="37"/>
      <c r="L766" s="60"/>
      <c r="M766" s="37"/>
      <c r="N766" s="36"/>
      <c r="O766" s="37"/>
      <c r="P766" s="37"/>
      <c r="Q766" s="39"/>
      <c r="R766" s="59"/>
    </row>
    <row r="767" spans="1:18" ht="15.75" thickBot="1" x14ac:dyDescent="0.3">
      <c r="A767" s="44" t="s">
        <v>23</v>
      </c>
      <c r="B767" s="45"/>
      <c r="C767" s="46"/>
      <c r="D767" s="47"/>
      <c r="E767" s="46"/>
      <c r="F767" s="48"/>
      <c r="K767" s="37"/>
      <c r="L767" s="60"/>
      <c r="M767" s="37"/>
      <c r="N767" s="36"/>
      <c r="O767" s="37"/>
      <c r="P767" s="37"/>
      <c r="Q767" s="39"/>
      <c r="R767" s="59"/>
    </row>
    <row r="768" spans="1:18" x14ac:dyDescent="0.25">
      <c r="A768" s="17"/>
      <c r="B768" s="96" t="s">
        <v>89</v>
      </c>
      <c r="C768" s="97" t="s">
        <v>26</v>
      </c>
      <c r="D768" s="244">
        <v>1</v>
      </c>
      <c r="E768" s="202">
        <v>34900</v>
      </c>
      <c r="F768" s="215">
        <f>ROUND(D768*E768,)</f>
        <v>34900</v>
      </c>
      <c r="K768" s="37"/>
      <c r="L768" s="60"/>
      <c r="M768" s="37"/>
      <c r="N768" s="36"/>
      <c r="O768" s="37"/>
      <c r="P768" s="37"/>
      <c r="Q768" s="39"/>
      <c r="R768" s="59"/>
    </row>
    <row r="769" spans="1:18" x14ac:dyDescent="0.25">
      <c r="A769" s="92"/>
      <c r="B769" s="170" t="s">
        <v>108</v>
      </c>
      <c r="C769" s="142" t="s">
        <v>49</v>
      </c>
      <c r="D769" s="275">
        <v>8.0000000000000002E-3</v>
      </c>
      <c r="E769" s="226">
        <v>87900</v>
      </c>
      <c r="F769" s="204">
        <f>ROUND(D769*E769,)</f>
        <v>703</v>
      </c>
      <c r="K769" s="37"/>
      <c r="L769" s="60"/>
      <c r="M769" s="37"/>
      <c r="N769" s="36"/>
      <c r="O769" s="37"/>
      <c r="P769" s="37"/>
      <c r="Q769" s="39"/>
      <c r="R769" s="59"/>
    </row>
    <row r="770" spans="1:18" x14ac:dyDescent="0.25">
      <c r="A770" s="91"/>
      <c r="B770" s="158" t="s">
        <v>102</v>
      </c>
      <c r="C770" s="151" t="s">
        <v>49</v>
      </c>
      <c r="D770" s="276">
        <v>3</v>
      </c>
      <c r="E770" s="205">
        <v>1596</v>
      </c>
      <c r="F770" s="204">
        <f>ROUND(D770*E770,)</f>
        <v>4788</v>
      </c>
      <c r="H770" s="126"/>
      <c r="K770" s="37"/>
      <c r="L770" s="60"/>
      <c r="M770" s="37"/>
      <c r="N770" s="36"/>
      <c r="O770" s="37"/>
      <c r="P770" s="37"/>
      <c r="Q770" s="39"/>
      <c r="R770" s="59"/>
    </row>
    <row r="771" spans="1:18" ht="15.75" thickBot="1" x14ac:dyDescent="0.3">
      <c r="A771" s="30"/>
      <c r="B771" s="24" t="s">
        <v>103</v>
      </c>
      <c r="C771" s="25" t="s">
        <v>49</v>
      </c>
      <c r="D771" s="277">
        <v>5.0000000000000001E-3</v>
      </c>
      <c r="E771" s="208">
        <v>5000</v>
      </c>
      <c r="F771" s="186">
        <f t="shared" ref="F771" si="51">ROUND(D771*E771,)</f>
        <v>25</v>
      </c>
      <c r="K771" s="37"/>
      <c r="L771" s="60"/>
      <c r="M771" s="37"/>
      <c r="N771" s="36"/>
      <c r="O771" s="37"/>
      <c r="P771" s="37"/>
      <c r="Q771" s="39"/>
      <c r="R771" s="59"/>
    </row>
    <row r="772" spans="1:18" ht="15.75" thickBot="1" x14ac:dyDescent="0.3">
      <c r="A772" s="6"/>
      <c r="B772" s="50"/>
      <c r="C772" s="61"/>
      <c r="D772" s="37"/>
      <c r="E772" s="39" t="s">
        <v>24</v>
      </c>
      <c r="F772" s="187">
        <f>SUM(F768:F771)</f>
        <v>40416</v>
      </c>
      <c r="K772" s="37"/>
      <c r="L772" s="60"/>
      <c r="M772" s="37"/>
      <c r="N772" s="36"/>
      <c r="O772" s="37"/>
      <c r="P772" s="37"/>
      <c r="Q772" s="39"/>
      <c r="R772" s="59"/>
    </row>
    <row r="773" spans="1:18" ht="15.75" thickBot="1" x14ac:dyDescent="0.3">
      <c r="A773" s="155"/>
      <c r="B773" s="9"/>
      <c r="C773" s="156"/>
      <c r="D773" s="10"/>
      <c r="E773" s="39"/>
      <c r="F773" s="144"/>
      <c r="K773" s="37"/>
      <c r="L773" s="60"/>
      <c r="M773" s="37"/>
      <c r="N773" s="143"/>
      <c r="O773" s="37"/>
      <c r="P773" s="37"/>
      <c r="Q773" s="39"/>
      <c r="R773" s="59"/>
    </row>
    <row r="774" spans="1:18" ht="15.75" thickBot="1" x14ac:dyDescent="0.3">
      <c r="A774" s="69" t="s">
        <v>12</v>
      </c>
      <c r="B774" s="64" t="s">
        <v>25</v>
      </c>
      <c r="C774" s="65"/>
      <c r="D774" s="66"/>
      <c r="E774" s="67"/>
      <c r="F774" s="351">
        <f>+F772+F765+F759</f>
        <v>66323</v>
      </c>
      <c r="H774" s="126"/>
      <c r="K774" s="37"/>
      <c r="L774" s="60"/>
      <c r="M774" s="37"/>
      <c r="N774" s="36"/>
      <c r="O774" s="37"/>
      <c r="P774" s="37"/>
      <c r="Q774" s="39"/>
      <c r="R774" s="59"/>
    </row>
    <row r="775" spans="1:18" ht="15.75" thickBot="1" x14ac:dyDescent="0.3">
      <c r="K775" s="37"/>
      <c r="L775" s="60"/>
      <c r="M775" s="37"/>
      <c r="N775" s="36"/>
      <c r="O775" s="37"/>
      <c r="P775" s="37"/>
      <c r="Q775" s="39"/>
      <c r="R775" s="59"/>
    </row>
    <row r="776" spans="1:18" ht="28.5" customHeight="1" x14ac:dyDescent="0.25">
      <c r="A776" s="1" t="s">
        <v>47</v>
      </c>
      <c r="B776" s="355" t="s">
        <v>235</v>
      </c>
      <c r="C776" s="355"/>
      <c r="D776" s="355"/>
      <c r="E776" s="3"/>
      <c r="F776" s="146" t="s">
        <v>15</v>
      </c>
      <c r="K776" s="37"/>
      <c r="L776" s="60"/>
      <c r="M776" s="37"/>
      <c r="N776" s="36"/>
      <c r="O776" s="37"/>
      <c r="P776" s="37"/>
      <c r="Q776" s="39"/>
      <c r="R776" s="59"/>
    </row>
    <row r="777" spans="1:18" ht="15.75" thickBot="1" x14ac:dyDescent="0.3">
      <c r="A777" s="70" t="s">
        <v>9</v>
      </c>
      <c r="B777" s="71">
        <v>2.15</v>
      </c>
      <c r="C777" s="10"/>
      <c r="D777" s="11"/>
      <c r="E777" s="10"/>
      <c r="F777" s="72" t="s">
        <v>26</v>
      </c>
      <c r="K777" s="37"/>
      <c r="L777" s="60"/>
      <c r="M777" s="37"/>
      <c r="N777" s="36"/>
      <c r="O777" s="37"/>
      <c r="P777" s="37"/>
      <c r="Q777" s="39"/>
      <c r="R777" s="59"/>
    </row>
    <row r="778" spans="1:18" ht="15.75" thickBot="1" x14ac:dyDescent="0.3">
      <c r="A778" s="6"/>
      <c r="B778" s="36"/>
      <c r="C778" s="37"/>
      <c r="D778" s="38"/>
      <c r="E778" s="37"/>
      <c r="F778" s="7"/>
      <c r="K778" s="37"/>
      <c r="L778" s="60"/>
      <c r="M778" s="37"/>
      <c r="N778" s="36"/>
      <c r="O778" s="37"/>
      <c r="P778" s="37"/>
      <c r="Q778" s="39"/>
      <c r="R778" s="59"/>
    </row>
    <row r="779" spans="1:18" ht="15.75" thickBot="1" x14ac:dyDescent="0.3">
      <c r="A779" s="33" t="s">
        <v>179</v>
      </c>
      <c r="B779" s="40" t="s">
        <v>47</v>
      </c>
      <c r="C779" s="34" t="s">
        <v>15</v>
      </c>
      <c r="D779" s="35" t="s">
        <v>16</v>
      </c>
      <c r="E779" s="34" t="s">
        <v>17</v>
      </c>
      <c r="F779" s="41" t="s">
        <v>18</v>
      </c>
      <c r="K779" s="37"/>
      <c r="L779" s="60"/>
      <c r="M779" s="37"/>
      <c r="N779" s="36"/>
      <c r="O779" s="37"/>
      <c r="P779" s="37"/>
      <c r="Q779" s="39"/>
      <c r="R779" s="59"/>
    </row>
    <row r="780" spans="1:18" ht="15.75" thickBot="1" x14ac:dyDescent="0.3">
      <c r="A780" s="6"/>
      <c r="B780" s="36"/>
      <c r="C780" s="37"/>
      <c r="D780" s="38"/>
      <c r="E780" s="37"/>
      <c r="F780" s="7"/>
      <c r="K780" s="37"/>
      <c r="L780" s="60"/>
      <c r="M780" s="37"/>
      <c r="N780" s="36"/>
      <c r="O780" s="37"/>
      <c r="P780" s="37"/>
      <c r="Q780" s="39"/>
      <c r="R780" s="59"/>
    </row>
    <row r="781" spans="1:18" ht="15.75" thickBot="1" x14ac:dyDescent="0.3">
      <c r="A781" s="1" t="s">
        <v>19</v>
      </c>
      <c r="B781" s="13"/>
      <c r="C781" s="14"/>
      <c r="D781" s="15"/>
      <c r="E781" s="14"/>
      <c r="F781" s="16"/>
      <c r="K781" s="37"/>
      <c r="L781" s="60"/>
      <c r="M781" s="37"/>
      <c r="N781" s="36"/>
      <c r="O781" s="37"/>
      <c r="P781" s="37"/>
      <c r="Q781" s="39"/>
      <c r="R781" s="59"/>
    </row>
    <row r="782" spans="1:18" ht="26.25" customHeight="1" x14ac:dyDescent="0.25">
      <c r="A782" s="95"/>
      <c r="B782" s="96" t="s">
        <v>30</v>
      </c>
      <c r="C782" s="97" t="s">
        <v>29</v>
      </c>
      <c r="D782" s="20">
        <v>0.105</v>
      </c>
      <c r="E782" s="183">
        <v>164667</v>
      </c>
      <c r="F782" s="184">
        <f>ROUND(D782*E782,)</f>
        <v>17290</v>
      </c>
      <c r="K782" s="37"/>
      <c r="L782" s="60"/>
      <c r="M782" s="37"/>
      <c r="N782" s="36"/>
      <c r="O782" s="37"/>
      <c r="P782" s="37"/>
      <c r="Q782" s="39"/>
      <c r="R782" s="59"/>
    </row>
    <row r="783" spans="1:18" ht="15.75" thickBot="1" x14ac:dyDescent="0.3">
      <c r="A783" s="23"/>
      <c r="B783" s="78" t="s">
        <v>98</v>
      </c>
      <c r="C783" s="79" t="s">
        <v>29</v>
      </c>
      <c r="D783" s="80">
        <v>0.105</v>
      </c>
      <c r="E783" s="192">
        <v>133000</v>
      </c>
      <c r="F783" s="189">
        <f>ROUND(D783*E783,)</f>
        <v>13965</v>
      </c>
      <c r="K783" s="37"/>
      <c r="L783" s="60"/>
      <c r="M783" s="37"/>
      <c r="N783" s="36"/>
      <c r="O783" s="37"/>
      <c r="P783" s="37"/>
      <c r="Q783" s="39"/>
      <c r="R783" s="59"/>
    </row>
    <row r="784" spans="1:18" ht="15.75" thickBot="1" x14ac:dyDescent="0.3">
      <c r="A784" s="6"/>
      <c r="B784" s="36"/>
      <c r="C784" s="37"/>
      <c r="D784" s="38"/>
      <c r="E784" s="39" t="s">
        <v>20</v>
      </c>
      <c r="F784" s="187">
        <f>+F782+F783</f>
        <v>31255</v>
      </c>
      <c r="K784" s="37"/>
      <c r="L784" s="60"/>
      <c r="M784" s="37"/>
      <c r="N784" s="36"/>
      <c r="O784" s="37"/>
      <c r="P784" s="37"/>
      <c r="Q784" s="39"/>
      <c r="R784" s="59"/>
    </row>
    <row r="785" spans="1:18" ht="15.75" thickBot="1" x14ac:dyDescent="0.3">
      <c r="A785" s="6"/>
      <c r="B785" s="36"/>
      <c r="C785" s="37"/>
      <c r="D785" s="38"/>
      <c r="E785" s="37"/>
      <c r="F785" s="7"/>
      <c r="K785" s="37"/>
      <c r="L785" s="60"/>
      <c r="M785" s="37"/>
      <c r="N785" s="36"/>
      <c r="O785" s="37"/>
      <c r="P785" s="37"/>
      <c r="Q785" s="39"/>
      <c r="R785" s="59"/>
    </row>
    <row r="786" spans="1:18" ht="15.75" thickBot="1" x14ac:dyDescent="0.3">
      <c r="A786" s="44" t="s">
        <v>21</v>
      </c>
      <c r="B786" s="45"/>
      <c r="C786" s="46"/>
      <c r="D786" s="47"/>
      <c r="E786" s="46"/>
      <c r="F786" s="48"/>
      <c r="K786" s="37"/>
      <c r="L786" s="60"/>
      <c r="M786" s="37"/>
      <c r="N786" s="36"/>
      <c r="O786" s="37"/>
      <c r="P786" s="37"/>
      <c r="Q786" s="39"/>
      <c r="R786" s="59"/>
    </row>
    <row r="787" spans="1:18" x14ac:dyDescent="0.25">
      <c r="A787" s="122"/>
      <c r="B787" s="87"/>
      <c r="C787" s="88"/>
      <c r="D787" s="123"/>
      <c r="E787" s="182"/>
      <c r="F787" s="210">
        <f t="shared" ref="F787:F789" si="52">ROUND(D787*E787,)</f>
        <v>0</v>
      </c>
      <c r="K787" s="37"/>
      <c r="L787" s="60"/>
      <c r="M787" s="37"/>
      <c r="N787" s="36"/>
      <c r="O787" s="37"/>
      <c r="P787" s="37"/>
      <c r="Q787" s="39"/>
      <c r="R787" s="59"/>
    </row>
    <row r="788" spans="1:18" x14ac:dyDescent="0.25">
      <c r="A788" s="108"/>
      <c r="B788" s="43" t="s">
        <v>101</v>
      </c>
      <c r="C788" s="82" t="s">
        <v>32</v>
      </c>
      <c r="D788" s="115">
        <v>1.2E-2</v>
      </c>
      <c r="E788" s="180">
        <v>62433</v>
      </c>
      <c r="F788" s="196">
        <f t="shared" si="52"/>
        <v>749</v>
      </c>
      <c r="K788" s="37"/>
      <c r="L788" s="60"/>
      <c r="M788" s="37"/>
      <c r="N788" s="36"/>
      <c r="O788" s="37"/>
      <c r="P788" s="37"/>
      <c r="Q788" s="39"/>
      <c r="R788" s="59"/>
    </row>
    <row r="789" spans="1:18" ht="15.75" thickBot="1" x14ac:dyDescent="0.3">
      <c r="A789" s="23"/>
      <c r="B789" s="24" t="s">
        <v>34</v>
      </c>
      <c r="C789" s="25" t="s">
        <v>35</v>
      </c>
      <c r="D789" s="26">
        <v>0.02</v>
      </c>
      <c r="E789" s="192">
        <v>1700</v>
      </c>
      <c r="F789" s="186">
        <f t="shared" si="52"/>
        <v>34</v>
      </c>
      <c r="K789" s="37"/>
      <c r="L789" s="60"/>
      <c r="M789" s="37"/>
      <c r="N789" s="36"/>
      <c r="O789" s="37"/>
      <c r="P789" s="37"/>
      <c r="Q789" s="39"/>
      <c r="R789" s="59"/>
    </row>
    <row r="790" spans="1:18" ht="15.75" thickBot="1" x14ac:dyDescent="0.3">
      <c r="A790" s="6"/>
      <c r="B790" s="36"/>
      <c r="C790" s="37"/>
      <c r="D790" s="38"/>
      <c r="E790" s="39" t="s">
        <v>22</v>
      </c>
      <c r="F790" s="187">
        <f>SUM(F787:F789)</f>
        <v>783</v>
      </c>
      <c r="K790" s="37"/>
      <c r="L790" s="60"/>
      <c r="M790" s="37"/>
      <c r="N790" s="36"/>
      <c r="O790" s="37"/>
      <c r="P790" s="37"/>
      <c r="Q790" s="39"/>
      <c r="R790" s="59"/>
    </row>
    <row r="791" spans="1:18" ht="15.75" thickBot="1" x14ac:dyDescent="0.3">
      <c r="A791" s="6"/>
      <c r="B791" s="36"/>
      <c r="C791" s="37"/>
      <c r="D791" s="38"/>
      <c r="E791" s="37"/>
      <c r="F791" s="7"/>
      <c r="K791" s="37"/>
      <c r="L791" s="60"/>
      <c r="M791" s="37"/>
      <c r="N791" s="36"/>
      <c r="O791" s="37"/>
      <c r="P791" s="37"/>
      <c r="Q791" s="39"/>
      <c r="R791" s="59"/>
    </row>
    <row r="792" spans="1:18" ht="15.75" thickBot="1" x14ac:dyDescent="0.3">
      <c r="A792" s="44" t="s">
        <v>23</v>
      </c>
      <c r="B792" s="45"/>
      <c r="C792" s="46"/>
      <c r="D792" s="47"/>
      <c r="E792" s="46"/>
      <c r="F792" s="48"/>
      <c r="K792" s="37"/>
      <c r="L792" s="60"/>
      <c r="M792" s="37"/>
      <c r="N792" s="36"/>
      <c r="O792" s="37"/>
      <c r="P792" s="37"/>
      <c r="Q792" s="39"/>
      <c r="R792" s="59"/>
    </row>
    <row r="793" spans="1:18" x14ac:dyDescent="0.25">
      <c r="A793" s="17"/>
      <c r="B793" s="96" t="s">
        <v>89</v>
      </c>
      <c r="C793" s="97" t="s">
        <v>26</v>
      </c>
      <c r="D793" s="244">
        <v>1</v>
      </c>
      <c r="E793" s="202">
        <v>34900</v>
      </c>
      <c r="F793" s="215">
        <f>ROUND(D793*E793,)</f>
        <v>34900</v>
      </c>
      <c r="K793" s="37"/>
      <c r="L793" s="60"/>
      <c r="M793" s="37"/>
      <c r="N793" s="36"/>
      <c r="O793" s="37"/>
      <c r="P793" s="37"/>
      <c r="Q793" s="39"/>
      <c r="R793" s="59"/>
    </row>
    <row r="794" spans="1:18" x14ac:dyDescent="0.25">
      <c r="A794" s="92"/>
      <c r="B794" s="170" t="s">
        <v>108</v>
      </c>
      <c r="C794" s="142" t="s">
        <v>49</v>
      </c>
      <c r="D794" s="275">
        <v>8.0000000000000002E-3</v>
      </c>
      <c r="E794" s="226">
        <v>87900</v>
      </c>
      <c r="F794" s="204">
        <f>ROUND(D794*E794,)</f>
        <v>703</v>
      </c>
      <c r="K794" s="37"/>
      <c r="L794" s="60"/>
      <c r="M794" s="37"/>
      <c r="N794" s="36"/>
      <c r="O794" s="37"/>
      <c r="P794" s="37"/>
      <c r="Q794" s="39"/>
      <c r="R794" s="59"/>
    </row>
    <row r="795" spans="1:18" x14ac:dyDescent="0.25">
      <c r="A795" s="91"/>
      <c r="B795" s="158" t="s">
        <v>102</v>
      </c>
      <c r="C795" s="151" t="s">
        <v>49</v>
      </c>
      <c r="D795" s="276">
        <v>3</v>
      </c>
      <c r="E795" s="205">
        <v>1596</v>
      </c>
      <c r="F795" s="204">
        <f>ROUND(D795*E795,)</f>
        <v>4788</v>
      </c>
      <c r="H795" s="126"/>
      <c r="K795" s="37"/>
      <c r="L795" s="60"/>
      <c r="M795" s="37"/>
      <c r="N795" s="36"/>
      <c r="O795" s="37"/>
      <c r="P795" s="37"/>
      <c r="Q795" s="39"/>
      <c r="R795" s="59"/>
    </row>
    <row r="796" spans="1:18" ht="15.75" thickBot="1" x14ac:dyDescent="0.3">
      <c r="A796" s="30"/>
      <c r="B796" s="24" t="s">
        <v>103</v>
      </c>
      <c r="C796" s="25" t="s">
        <v>49</v>
      </c>
      <c r="D796" s="277">
        <v>5.0000000000000001E-3</v>
      </c>
      <c r="E796" s="208">
        <v>5000</v>
      </c>
      <c r="F796" s="186">
        <f t="shared" ref="F796" si="53">ROUND(D796*E796,)</f>
        <v>25</v>
      </c>
      <c r="K796" s="37"/>
      <c r="L796" s="60"/>
      <c r="M796" s="37"/>
      <c r="N796" s="36"/>
      <c r="O796" s="37"/>
      <c r="P796" s="37"/>
      <c r="Q796" s="39"/>
      <c r="R796" s="59"/>
    </row>
    <row r="797" spans="1:18" ht="15.75" thickBot="1" x14ac:dyDescent="0.3">
      <c r="A797" s="6"/>
      <c r="B797" s="50"/>
      <c r="C797" s="61"/>
      <c r="D797" s="37"/>
      <c r="E797" s="39" t="s">
        <v>24</v>
      </c>
      <c r="F797" s="187">
        <f>SUM(F793:F796)</f>
        <v>40416</v>
      </c>
      <c r="K797" s="37"/>
      <c r="L797" s="60"/>
      <c r="M797" s="37"/>
      <c r="N797" s="36"/>
      <c r="O797" s="37"/>
      <c r="P797" s="37"/>
      <c r="Q797" s="39"/>
      <c r="R797" s="59"/>
    </row>
    <row r="798" spans="1:18" ht="15.75" thickBot="1" x14ac:dyDescent="0.3">
      <c r="A798" s="155"/>
      <c r="B798" s="9"/>
      <c r="C798" s="156"/>
      <c r="D798" s="10"/>
      <c r="E798" s="39"/>
      <c r="F798" s="144"/>
      <c r="K798" s="37"/>
      <c r="L798" s="60"/>
      <c r="M798" s="37"/>
      <c r="N798" s="143"/>
      <c r="O798" s="37"/>
      <c r="P798" s="37"/>
      <c r="Q798" s="39"/>
      <c r="R798" s="59"/>
    </row>
    <row r="799" spans="1:18" ht="15.75" thickBot="1" x14ac:dyDescent="0.3">
      <c r="A799" s="69" t="s">
        <v>12</v>
      </c>
      <c r="B799" s="64" t="s">
        <v>25</v>
      </c>
      <c r="C799" s="65"/>
      <c r="D799" s="66"/>
      <c r="E799" s="67"/>
      <c r="F799" s="351">
        <f>+F797+F790+F784</f>
        <v>72454</v>
      </c>
      <c r="H799" s="126"/>
      <c r="K799" s="37"/>
      <c r="L799" s="60"/>
      <c r="M799" s="37"/>
      <c r="N799" s="36"/>
      <c r="O799" s="37"/>
      <c r="P799" s="37"/>
      <c r="Q799" s="39"/>
      <c r="R799" s="59"/>
    </row>
    <row r="800" spans="1:18" ht="15.75" thickBot="1" x14ac:dyDescent="0.3">
      <c r="K800" s="37"/>
      <c r="L800" s="60"/>
      <c r="M800" s="37"/>
      <c r="N800" s="36"/>
      <c r="O800" s="37"/>
      <c r="P800" s="37"/>
      <c r="Q800" s="39"/>
      <c r="R800" s="59"/>
    </row>
    <row r="801" spans="1:18" ht="28.5" customHeight="1" x14ac:dyDescent="0.25">
      <c r="A801" s="1" t="s">
        <v>47</v>
      </c>
      <c r="B801" s="355" t="s">
        <v>165</v>
      </c>
      <c r="C801" s="355"/>
      <c r="D801" s="355"/>
      <c r="E801" s="3"/>
      <c r="F801" s="146" t="s">
        <v>15</v>
      </c>
      <c r="K801" s="37"/>
      <c r="L801" s="60"/>
      <c r="M801" s="37"/>
      <c r="N801" s="36"/>
      <c r="O801" s="37"/>
      <c r="P801" s="37"/>
      <c r="Q801" s="39"/>
      <c r="R801" s="59"/>
    </row>
    <row r="802" spans="1:18" ht="16.5" customHeight="1" thickBot="1" x14ac:dyDescent="0.3">
      <c r="A802" s="70" t="s">
        <v>9</v>
      </c>
      <c r="B802" s="71">
        <v>2.16</v>
      </c>
      <c r="C802" s="10"/>
      <c r="D802" s="11"/>
      <c r="E802" s="10"/>
      <c r="F802" s="72" t="s">
        <v>26</v>
      </c>
      <c r="K802" s="37"/>
      <c r="L802" s="60"/>
      <c r="M802" s="37"/>
      <c r="N802" s="36"/>
      <c r="O802" s="37"/>
      <c r="P802" s="37"/>
      <c r="Q802" s="39"/>
      <c r="R802" s="59"/>
    </row>
    <row r="803" spans="1:18" ht="15.75" thickBot="1" x14ac:dyDescent="0.3">
      <c r="A803" s="6"/>
      <c r="B803" s="36"/>
      <c r="C803" s="37"/>
      <c r="D803" s="38"/>
      <c r="E803" s="37"/>
      <c r="F803" s="7"/>
      <c r="K803" s="37"/>
      <c r="L803" s="60"/>
      <c r="M803" s="37"/>
      <c r="N803" s="36"/>
      <c r="O803" s="37"/>
      <c r="P803" s="37"/>
      <c r="Q803" s="39"/>
      <c r="R803" s="59"/>
    </row>
    <row r="804" spans="1:18" ht="15.75" thickBot="1" x14ac:dyDescent="0.3">
      <c r="A804" s="33" t="s">
        <v>179</v>
      </c>
      <c r="B804" s="40" t="s">
        <v>47</v>
      </c>
      <c r="C804" s="34" t="s">
        <v>15</v>
      </c>
      <c r="D804" s="35" t="s">
        <v>16</v>
      </c>
      <c r="E804" s="34" t="s">
        <v>17</v>
      </c>
      <c r="F804" s="41" t="s">
        <v>18</v>
      </c>
      <c r="K804" s="37"/>
      <c r="L804" s="60"/>
      <c r="M804" s="37"/>
      <c r="N804" s="36"/>
      <c r="O804" s="37"/>
      <c r="P804" s="37"/>
      <c r="Q804" s="39"/>
      <c r="R804" s="59"/>
    </row>
    <row r="805" spans="1:18" ht="15.75" thickBot="1" x14ac:dyDescent="0.3">
      <c r="A805" s="6"/>
      <c r="B805" s="36"/>
      <c r="C805" s="37"/>
      <c r="D805" s="38"/>
      <c r="E805" s="37"/>
      <c r="F805" s="7"/>
      <c r="K805" s="37"/>
      <c r="L805" s="60"/>
      <c r="M805" s="37"/>
      <c r="N805" s="36"/>
      <c r="O805" s="37"/>
      <c r="P805" s="37"/>
      <c r="Q805" s="39"/>
      <c r="R805" s="59"/>
    </row>
    <row r="806" spans="1:18" ht="15.75" thickBot="1" x14ac:dyDescent="0.3">
      <c r="A806" s="1" t="s">
        <v>19</v>
      </c>
      <c r="B806" s="13"/>
      <c r="C806" s="14"/>
      <c r="D806" s="15"/>
      <c r="E806" s="14"/>
      <c r="F806" s="16"/>
      <c r="K806" s="37"/>
      <c r="L806" s="60"/>
      <c r="M806" s="37"/>
      <c r="N806" s="36"/>
      <c r="O806" s="37"/>
      <c r="P806" s="37"/>
      <c r="Q806" s="39"/>
      <c r="R806" s="59"/>
    </row>
    <row r="807" spans="1:18" ht="27" customHeight="1" x14ac:dyDescent="0.25">
      <c r="A807" s="95"/>
      <c r="B807" s="96" t="s">
        <v>30</v>
      </c>
      <c r="C807" s="97" t="s">
        <v>29</v>
      </c>
      <c r="D807" s="20">
        <v>9.1999999999999998E-2</v>
      </c>
      <c r="E807" s="183">
        <v>164667</v>
      </c>
      <c r="F807" s="184">
        <f>ROUND(D807*E807,)</f>
        <v>15149</v>
      </c>
      <c r="K807" s="37"/>
      <c r="L807" s="60"/>
      <c r="M807" s="37"/>
      <c r="N807" s="36"/>
      <c r="O807" s="37"/>
      <c r="P807" s="37"/>
      <c r="Q807" s="39"/>
      <c r="R807" s="59"/>
    </row>
    <row r="808" spans="1:18" ht="15.75" thickBot="1" x14ac:dyDescent="0.3">
      <c r="A808" s="23"/>
      <c r="B808" s="78" t="s">
        <v>98</v>
      </c>
      <c r="C808" s="79" t="s">
        <v>29</v>
      </c>
      <c r="D808" s="80">
        <v>7.4999999999999997E-2</v>
      </c>
      <c r="E808" s="192">
        <v>133000</v>
      </c>
      <c r="F808" s="189">
        <f>ROUND(D808*E808,)</f>
        <v>9975</v>
      </c>
      <c r="K808" s="37"/>
      <c r="L808" s="60"/>
      <c r="M808" s="37"/>
      <c r="N808" s="36"/>
      <c r="O808" s="37"/>
      <c r="P808" s="37"/>
      <c r="Q808" s="39"/>
      <c r="R808" s="59"/>
    </row>
    <row r="809" spans="1:18" ht="15.75" thickBot="1" x14ac:dyDescent="0.3">
      <c r="A809" s="6"/>
      <c r="B809" s="36"/>
      <c r="C809" s="37"/>
      <c r="D809" s="38"/>
      <c r="E809" s="39" t="s">
        <v>20</v>
      </c>
      <c r="F809" s="187">
        <f>+F807+F808</f>
        <v>25124</v>
      </c>
      <c r="K809" s="37"/>
      <c r="L809" s="60"/>
      <c r="M809" s="37"/>
      <c r="N809" s="36"/>
      <c r="O809" s="37"/>
      <c r="P809" s="37"/>
      <c r="Q809" s="39"/>
      <c r="R809" s="59"/>
    </row>
    <row r="810" spans="1:18" ht="15.75" thickBot="1" x14ac:dyDescent="0.3">
      <c r="A810" s="6"/>
      <c r="B810" s="36"/>
      <c r="C810" s="37"/>
      <c r="D810" s="38"/>
      <c r="E810" s="37"/>
      <c r="F810" s="7"/>
      <c r="K810" s="37"/>
      <c r="L810" s="60"/>
      <c r="M810" s="37"/>
      <c r="N810" s="36"/>
      <c r="O810" s="37"/>
      <c r="P810" s="37"/>
      <c r="Q810" s="39"/>
      <c r="R810" s="59"/>
    </row>
    <row r="811" spans="1:18" ht="15.75" thickBot="1" x14ac:dyDescent="0.3">
      <c r="A811" s="44" t="s">
        <v>21</v>
      </c>
      <c r="B811" s="45"/>
      <c r="C811" s="46"/>
      <c r="D811" s="47"/>
      <c r="E811" s="46"/>
      <c r="F811" s="48"/>
      <c r="K811" s="37"/>
      <c r="L811" s="60"/>
      <c r="M811" s="37"/>
      <c r="N811" s="36"/>
      <c r="O811" s="37"/>
      <c r="P811" s="37"/>
      <c r="Q811" s="39"/>
      <c r="R811" s="59"/>
    </row>
    <row r="812" spans="1:18" x14ac:dyDescent="0.25">
      <c r="A812" s="122"/>
      <c r="B812" s="43" t="s">
        <v>101</v>
      </c>
      <c r="C812" s="82" t="s">
        <v>32</v>
      </c>
      <c r="D812" s="115">
        <v>1.2E-2</v>
      </c>
      <c r="E812" s="180">
        <v>62433</v>
      </c>
      <c r="F812" s="196">
        <f t="shared" ref="F812" si="54">ROUND(D812*E812,)</f>
        <v>749</v>
      </c>
      <c r="K812" s="37"/>
      <c r="L812" s="60"/>
      <c r="M812" s="37"/>
      <c r="N812" s="36"/>
      <c r="O812" s="37"/>
      <c r="P812" s="37"/>
      <c r="Q812" s="39"/>
      <c r="R812" s="59"/>
    </row>
    <row r="813" spans="1:18" ht="15.75" thickBot="1" x14ac:dyDescent="0.3">
      <c r="A813" s="23"/>
      <c r="B813" s="24" t="s">
        <v>34</v>
      </c>
      <c r="C813" s="25" t="s">
        <v>35</v>
      </c>
      <c r="D813" s="26">
        <v>0.02</v>
      </c>
      <c r="E813" s="192">
        <v>1700</v>
      </c>
      <c r="F813" s="186">
        <f t="shared" ref="F813" si="55">ROUND(D813*E813,)</f>
        <v>34</v>
      </c>
      <c r="K813" s="37"/>
      <c r="L813" s="60"/>
      <c r="M813" s="37"/>
      <c r="N813" s="36"/>
      <c r="O813" s="37"/>
      <c r="P813" s="37"/>
      <c r="Q813" s="39"/>
      <c r="R813" s="59"/>
    </row>
    <row r="814" spans="1:18" ht="15.75" thickBot="1" x14ac:dyDescent="0.3">
      <c r="A814" s="6"/>
      <c r="B814" s="36"/>
      <c r="C814" s="37"/>
      <c r="D814" s="38"/>
      <c r="E814" s="39" t="s">
        <v>22</v>
      </c>
      <c r="F814" s="187">
        <f>SUM(F812:F813)</f>
        <v>783</v>
      </c>
      <c r="K814" s="37"/>
      <c r="L814" s="60"/>
      <c r="M814" s="37"/>
      <c r="N814" s="36"/>
      <c r="O814" s="37"/>
      <c r="P814" s="37"/>
      <c r="Q814" s="39"/>
      <c r="R814" s="59"/>
    </row>
    <row r="815" spans="1:18" ht="15.75" thickBot="1" x14ac:dyDescent="0.3">
      <c r="A815" s="6"/>
      <c r="B815" s="36"/>
      <c r="C815" s="37"/>
      <c r="D815" s="38"/>
      <c r="E815" s="37"/>
      <c r="F815" s="7"/>
      <c r="K815" s="37"/>
      <c r="L815" s="60"/>
      <c r="M815" s="37"/>
      <c r="N815" s="36"/>
      <c r="O815" s="37"/>
      <c r="P815" s="37"/>
      <c r="Q815" s="39"/>
      <c r="R815" s="59"/>
    </row>
    <row r="816" spans="1:18" ht="15.75" thickBot="1" x14ac:dyDescent="0.3">
      <c r="A816" s="44" t="s">
        <v>23</v>
      </c>
      <c r="B816" s="45"/>
      <c r="C816" s="46"/>
      <c r="D816" s="47"/>
      <c r="E816" s="46"/>
      <c r="F816" s="48"/>
      <c r="K816" s="37"/>
      <c r="L816" s="60"/>
      <c r="M816" s="37"/>
      <c r="N816" s="36"/>
      <c r="O816" s="37"/>
      <c r="P816" s="37"/>
      <c r="Q816" s="39"/>
      <c r="R816" s="59"/>
    </row>
    <row r="817" spans="1:19" x14ac:dyDescent="0.25">
      <c r="A817" s="17"/>
      <c r="B817" s="96" t="s">
        <v>89</v>
      </c>
      <c r="C817" s="97" t="s">
        <v>26</v>
      </c>
      <c r="D817" s="271">
        <v>1</v>
      </c>
      <c r="E817" s="202">
        <v>34900</v>
      </c>
      <c r="F817" s="215">
        <f>ROUND(D817*E817,)</f>
        <v>34900</v>
      </c>
      <c r="K817" s="37"/>
      <c r="L817" s="60"/>
      <c r="M817" s="37"/>
      <c r="N817" s="36"/>
      <c r="O817" s="37"/>
      <c r="P817" s="37"/>
      <c r="Q817" s="39"/>
      <c r="R817" s="59"/>
    </row>
    <row r="818" spans="1:19" x14ac:dyDescent="0.25">
      <c r="A818" s="92"/>
      <c r="B818" s="170" t="s">
        <v>108</v>
      </c>
      <c r="C818" s="142" t="s">
        <v>49</v>
      </c>
      <c r="D818" s="272">
        <v>8.0000000000000002E-3</v>
      </c>
      <c r="E818" s="226">
        <v>87900</v>
      </c>
      <c r="F818" s="204">
        <f>ROUND(D818*E818,)</f>
        <v>703</v>
      </c>
      <c r="K818" s="37"/>
      <c r="L818" s="60"/>
      <c r="M818" s="37"/>
      <c r="N818" s="36"/>
      <c r="O818" s="37"/>
      <c r="P818" s="37"/>
      <c r="Q818" s="39"/>
      <c r="R818" s="59"/>
    </row>
    <row r="819" spans="1:19" x14ac:dyDescent="0.25">
      <c r="A819" s="91"/>
      <c r="B819" s="158" t="s">
        <v>102</v>
      </c>
      <c r="C819" s="151" t="s">
        <v>49</v>
      </c>
      <c r="D819" s="273">
        <v>3</v>
      </c>
      <c r="E819" s="205">
        <v>1596</v>
      </c>
      <c r="F819" s="204">
        <f>ROUND(D819*E819,)</f>
        <v>4788</v>
      </c>
      <c r="H819" s="126"/>
      <c r="K819" s="37"/>
      <c r="L819" s="60"/>
      <c r="M819" s="37"/>
      <c r="N819" s="36"/>
      <c r="O819" s="37"/>
      <c r="P819" s="37"/>
      <c r="Q819" s="39"/>
      <c r="R819" s="59"/>
    </row>
    <row r="820" spans="1:19" ht="15.75" thickBot="1" x14ac:dyDescent="0.3">
      <c r="A820" s="30"/>
      <c r="B820" s="24" t="s">
        <v>103</v>
      </c>
      <c r="C820" s="25" t="s">
        <v>49</v>
      </c>
      <c r="D820" s="274">
        <v>5.0000000000000001E-3</v>
      </c>
      <c r="E820" s="208">
        <v>5000</v>
      </c>
      <c r="F820" s="186">
        <f t="shared" ref="F820" si="56">ROUND(D820*E820,)</f>
        <v>25</v>
      </c>
      <c r="K820" s="37"/>
      <c r="L820" s="60"/>
      <c r="M820" s="37"/>
      <c r="N820" s="36"/>
      <c r="O820" s="37"/>
      <c r="P820" s="37"/>
      <c r="Q820" s="39"/>
      <c r="R820" s="59"/>
    </row>
    <row r="821" spans="1:19" ht="15.75" thickBot="1" x14ac:dyDescent="0.3">
      <c r="A821" s="6"/>
      <c r="B821" s="50"/>
      <c r="C821" s="61"/>
      <c r="D821" s="37"/>
      <c r="E821" s="39" t="s">
        <v>24</v>
      </c>
      <c r="F821" s="187">
        <f>SUM(F817:F820)</f>
        <v>40416</v>
      </c>
      <c r="K821" s="37"/>
      <c r="L821" s="60"/>
      <c r="M821" s="37"/>
      <c r="N821" s="36"/>
      <c r="O821" s="37"/>
      <c r="P821" s="37"/>
      <c r="Q821" s="39"/>
      <c r="R821" s="59"/>
    </row>
    <row r="822" spans="1:19" ht="15.75" thickBot="1" x14ac:dyDescent="0.3">
      <c r="A822" s="155"/>
      <c r="B822" s="9"/>
      <c r="C822" s="156"/>
      <c r="D822" s="10"/>
      <c r="E822" s="39"/>
      <c r="F822" s="212"/>
      <c r="K822" s="37"/>
      <c r="L822" s="60"/>
      <c r="M822" s="37"/>
      <c r="N822" s="36"/>
      <c r="O822" s="37"/>
      <c r="P822" s="37"/>
      <c r="Q822" s="39"/>
      <c r="R822" s="59"/>
    </row>
    <row r="823" spans="1:19" ht="15.75" thickBot="1" x14ac:dyDescent="0.3">
      <c r="A823" s="69" t="s">
        <v>12</v>
      </c>
      <c r="B823" s="64" t="s">
        <v>25</v>
      </c>
      <c r="C823" s="65"/>
      <c r="D823" s="66"/>
      <c r="E823" s="67"/>
      <c r="F823" s="352">
        <f>+F821+F814+F809</f>
        <v>66323</v>
      </c>
      <c r="H823" s="126"/>
      <c r="K823" s="37"/>
      <c r="L823" s="60"/>
      <c r="M823" s="37"/>
      <c r="N823" s="143"/>
      <c r="O823" s="37"/>
      <c r="P823" s="37"/>
      <c r="Q823" s="39"/>
      <c r="R823" s="59"/>
      <c r="S823" s="37"/>
    </row>
    <row r="824" spans="1:19" ht="15.75" thickBot="1" x14ac:dyDescent="0.3">
      <c r="K824" s="37"/>
      <c r="L824" s="60"/>
      <c r="M824" s="37"/>
      <c r="N824" s="36"/>
      <c r="O824" s="37"/>
      <c r="P824" s="37"/>
      <c r="Q824" s="39"/>
      <c r="R824" s="59"/>
      <c r="S824" s="37"/>
    </row>
    <row r="825" spans="1:19" ht="28.5" customHeight="1" x14ac:dyDescent="0.25">
      <c r="A825" s="1" t="s">
        <v>47</v>
      </c>
      <c r="B825" s="355" t="s">
        <v>137</v>
      </c>
      <c r="C825" s="355"/>
      <c r="D825" s="355"/>
      <c r="E825" s="3"/>
      <c r="F825" s="146" t="s">
        <v>15</v>
      </c>
      <c r="K825" s="37"/>
      <c r="L825" s="60"/>
      <c r="M825" s="37"/>
      <c r="N825" s="36"/>
      <c r="O825" s="37"/>
      <c r="P825" s="37"/>
      <c r="Q825" s="39"/>
      <c r="R825" s="59"/>
    </row>
    <row r="826" spans="1:19" ht="16.5" customHeight="1" thickBot="1" x14ac:dyDescent="0.3">
      <c r="A826" s="70" t="s">
        <v>9</v>
      </c>
      <c r="B826" s="71">
        <v>2.16</v>
      </c>
      <c r="C826" s="10"/>
      <c r="D826" s="11"/>
      <c r="E826" s="10"/>
      <c r="F826" s="72" t="s">
        <v>62</v>
      </c>
      <c r="K826" s="37"/>
      <c r="L826" s="60"/>
      <c r="M826" s="37"/>
      <c r="N826" s="36"/>
      <c r="O826" s="37"/>
      <c r="P826" s="37"/>
      <c r="Q826" s="39"/>
      <c r="R826" s="59"/>
    </row>
    <row r="827" spans="1:19" ht="15.75" thickBot="1" x14ac:dyDescent="0.3">
      <c r="A827" s="6"/>
      <c r="B827" s="36"/>
      <c r="C827" s="37"/>
      <c r="D827" s="38"/>
      <c r="E827" s="37"/>
      <c r="F827" s="7"/>
      <c r="K827" s="37"/>
      <c r="L827" s="60"/>
      <c r="M827" s="37"/>
      <c r="N827" s="36"/>
      <c r="O827" s="37"/>
      <c r="P827" s="37"/>
      <c r="Q827" s="39"/>
      <c r="R827" s="59"/>
    </row>
    <row r="828" spans="1:19" ht="15.75" thickBot="1" x14ac:dyDescent="0.3">
      <c r="A828" s="33" t="s">
        <v>179</v>
      </c>
      <c r="B828" s="40" t="s">
        <v>47</v>
      </c>
      <c r="C828" s="34" t="s">
        <v>15</v>
      </c>
      <c r="D828" s="35" t="s">
        <v>16</v>
      </c>
      <c r="E828" s="34" t="s">
        <v>17</v>
      </c>
      <c r="F828" s="41" t="s">
        <v>18</v>
      </c>
      <c r="K828" s="37"/>
      <c r="L828" s="60"/>
      <c r="M828" s="37"/>
      <c r="N828" s="36"/>
      <c r="O828" s="37"/>
      <c r="P828" s="37"/>
      <c r="Q828" s="39"/>
      <c r="R828" s="59"/>
    </row>
    <row r="829" spans="1:19" ht="15.75" thickBot="1" x14ac:dyDescent="0.3">
      <c r="A829" s="6"/>
      <c r="B829" s="36"/>
      <c r="C829" s="37"/>
      <c r="D829" s="38"/>
      <c r="E829" s="37"/>
      <c r="F829" s="7"/>
      <c r="K829" s="37"/>
      <c r="L829" s="60"/>
      <c r="M829" s="37"/>
      <c r="N829" s="36"/>
      <c r="O829" s="37"/>
      <c r="P829" s="37"/>
      <c r="Q829" s="39"/>
      <c r="R829" s="59"/>
    </row>
    <row r="830" spans="1:19" ht="15.75" thickBot="1" x14ac:dyDescent="0.3">
      <c r="A830" s="1" t="s">
        <v>19</v>
      </c>
      <c r="B830" s="13"/>
      <c r="C830" s="14"/>
      <c r="D830" s="15"/>
      <c r="E830" s="14"/>
      <c r="F830" s="16"/>
      <c r="K830" s="37"/>
      <c r="L830" s="60"/>
      <c r="M830" s="37"/>
      <c r="N830" s="36"/>
      <c r="O830" s="37"/>
      <c r="P830" s="37"/>
      <c r="Q830" s="39"/>
      <c r="R830" s="59"/>
    </row>
    <row r="831" spans="1:19" ht="27" customHeight="1" x14ac:dyDescent="0.25">
      <c r="A831" s="95"/>
      <c r="B831" s="96" t="s">
        <v>30</v>
      </c>
      <c r="C831" s="97" t="s">
        <v>29</v>
      </c>
      <c r="D831" s="20">
        <v>0.3</v>
      </c>
      <c r="E831" s="183">
        <v>164667</v>
      </c>
      <c r="F831" s="184">
        <f>ROUND(D831*E831,)</f>
        <v>49400</v>
      </c>
      <c r="K831" s="37"/>
      <c r="L831" s="60"/>
      <c r="M831" s="37"/>
      <c r="N831" s="36"/>
      <c r="O831" s="37"/>
      <c r="P831" s="37"/>
      <c r="Q831" s="39"/>
      <c r="R831" s="59"/>
    </row>
    <row r="832" spans="1:19" ht="15.75" thickBot="1" x14ac:dyDescent="0.3">
      <c r="A832" s="23"/>
      <c r="B832" s="78" t="s">
        <v>98</v>
      </c>
      <c r="C832" s="79" t="s">
        <v>29</v>
      </c>
      <c r="D832" s="80">
        <v>0.2</v>
      </c>
      <c r="E832" s="192">
        <v>133000</v>
      </c>
      <c r="F832" s="189">
        <f>ROUND(D832*E832,)</f>
        <v>26600</v>
      </c>
      <c r="K832" s="37"/>
      <c r="L832" s="60"/>
      <c r="M832" s="37"/>
      <c r="N832" s="36"/>
      <c r="O832" s="37"/>
      <c r="P832" s="37"/>
      <c r="Q832" s="39"/>
      <c r="R832" s="59"/>
    </row>
    <row r="833" spans="1:19" ht="15.75" thickBot="1" x14ac:dyDescent="0.3">
      <c r="A833" s="6"/>
      <c r="B833" s="36"/>
      <c r="C833" s="37"/>
      <c r="D833" s="38"/>
      <c r="E833" s="39" t="s">
        <v>20</v>
      </c>
      <c r="F833" s="187">
        <f>+F831+F832</f>
        <v>76000</v>
      </c>
      <c r="K833" s="37"/>
      <c r="L833" s="60"/>
      <c r="M833" s="37"/>
      <c r="N833" s="36"/>
      <c r="O833" s="37"/>
      <c r="P833" s="37"/>
      <c r="Q833" s="39"/>
      <c r="R833" s="59"/>
    </row>
    <row r="834" spans="1:19" ht="15.75" thickBot="1" x14ac:dyDescent="0.3">
      <c r="A834" s="6"/>
      <c r="B834" s="36"/>
      <c r="C834" s="37"/>
      <c r="D834" s="38"/>
      <c r="E834" s="37"/>
      <c r="F834" s="7"/>
      <c r="K834" s="37"/>
      <c r="L834" s="60"/>
      <c r="M834" s="37"/>
      <c r="N834" s="36"/>
      <c r="O834" s="37"/>
      <c r="P834" s="37"/>
      <c r="Q834" s="39"/>
      <c r="R834" s="59"/>
    </row>
    <row r="835" spans="1:19" ht="15.75" thickBot="1" x14ac:dyDescent="0.3">
      <c r="A835" s="44" t="s">
        <v>21</v>
      </c>
      <c r="B835" s="45"/>
      <c r="C835" s="46"/>
      <c r="D835" s="47"/>
      <c r="E835" s="46"/>
      <c r="F835" s="48"/>
      <c r="K835" s="37"/>
      <c r="L835" s="60"/>
      <c r="M835" s="37"/>
      <c r="N835" s="36"/>
      <c r="O835" s="37"/>
      <c r="P835" s="37"/>
      <c r="Q835" s="39"/>
      <c r="R835" s="59"/>
    </row>
    <row r="836" spans="1:19" x14ac:dyDescent="0.25">
      <c r="A836" s="122"/>
      <c r="B836" s="43" t="s">
        <v>241</v>
      </c>
      <c r="C836" s="82" t="s">
        <v>37</v>
      </c>
      <c r="D836" s="115">
        <v>0.1</v>
      </c>
      <c r="E836" s="180">
        <v>85000</v>
      </c>
      <c r="F836" s="196">
        <f t="shared" ref="F836:F838" si="57">ROUND(D836*E836,)</f>
        <v>8500</v>
      </c>
      <c r="K836" s="37"/>
      <c r="L836" s="60"/>
      <c r="M836" s="37"/>
      <c r="N836" s="36"/>
      <c r="O836" s="37"/>
      <c r="P836" s="37"/>
      <c r="Q836" s="39"/>
      <c r="R836" s="59"/>
    </row>
    <row r="837" spans="1:19" x14ac:dyDescent="0.25">
      <c r="A837" s="350"/>
      <c r="B837" s="43" t="s">
        <v>101</v>
      </c>
      <c r="C837" s="82" t="s">
        <v>32</v>
      </c>
      <c r="D837" s="115">
        <v>0.1</v>
      </c>
      <c r="E837" s="180">
        <v>62433</v>
      </c>
      <c r="F837" s="196">
        <f t="shared" si="57"/>
        <v>6243</v>
      </c>
      <c r="K837" s="37"/>
      <c r="L837" s="60"/>
      <c r="M837" s="37"/>
      <c r="N837" s="36"/>
      <c r="O837" s="37"/>
      <c r="P837" s="37"/>
      <c r="Q837" s="39"/>
      <c r="R837" s="59"/>
    </row>
    <row r="838" spans="1:19" ht="15.75" thickBot="1" x14ac:dyDescent="0.3">
      <c r="A838" s="23"/>
      <c r="B838" s="24" t="s">
        <v>34</v>
      </c>
      <c r="C838" s="25" t="s">
        <v>35</v>
      </c>
      <c r="D838" s="26">
        <v>0.2</v>
      </c>
      <c r="E838" s="192">
        <f>+F833</f>
        <v>76000</v>
      </c>
      <c r="F838" s="186">
        <f t="shared" si="57"/>
        <v>15200</v>
      </c>
      <c r="K838" s="37"/>
      <c r="L838" s="60"/>
      <c r="M838" s="37"/>
      <c r="N838" s="36"/>
      <c r="O838" s="37"/>
      <c r="P838" s="37"/>
      <c r="Q838" s="39"/>
      <c r="R838" s="59"/>
    </row>
    <row r="839" spans="1:19" ht="15.75" thickBot="1" x14ac:dyDescent="0.3">
      <c r="A839" s="6"/>
      <c r="B839" s="36"/>
      <c r="C839" s="37"/>
      <c r="D839" s="38"/>
      <c r="E839" s="39" t="s">
        <v>22</v>
      </c>
      <c r="F839" s="187">
        <f>SUM(F836:F838)</f>
        <v>29943</v>
      </c>
      <c r="K839" s="37"/>
      <c r="L839" s="60"/>
      <c r="M839" s="37"/>
      <c r="N839" s="36"/>
      <c r="O839" s="37"/>
      <c r="P839" s="37"/>
      <c r="Q839" s="39"/>
      <c r="R839" s="59"/>
    </row>
    <row r="840" spans="1:19" ht="15.75" thickBot="1" x14ac:dyDescent="0.3">
      <c r="A840" s="6"/>
      <c r="B840" s="36"/>
      <c r="C840" s="37"/>
      <c r="D840" s="38"/>
      <c r="E840" s="37"/>
      <c r="F840" s="7"/>
      <c r="K840" s="37"/>
      <c r="L840" s="60"/>
      <c r="M840" s="37"/>
      <c r="N840" s="36"/>
      <c r="O840" s="37"/>
      <c r="P840" s="37"/>
      <c r="Q840" s="39"/>
      <c r="R840" s="59"/>
    </row>
    <row r="841" spans="1:19" ht="15.75" thickBot="1" x14ac:dyDescent="0.3">
      <c r="A841" s="44" t="s">
        <v>23</v>
      </c>
      <c r="B841" s="45"/>
      <c r="C841" s="46"/>
      <c r="D841" s="47"/>
      <c r="E841" s="46"/>
      <c r="F841" s="48"/>
      <c r="K841" s="37"/>
      <c r="L841" s="60"/>
      <c r="M841" s="37"/>
      <c r="N841" s="36"/>
      <c r="O841" s="37"/>
      <c r="P841" s="37"/>
      <c r="Q841" s="39"/>
      <c r="R841" s="59"/>
    </row>
    <row r="842" spans="1:19" x14ac:dyDescent="0.25">
      <c r="A842" s="17"/>
      <c r="B842" s="96"/>
      <c r="C842" s="97"/>
      <c r="D842" s="271"/>
      <c r="E842" s="202"/>
      <c r="F842" s="215">
        <f>ROUND(D842*E842,)</f>
        <v>0</v>
      </c>
      <c r="K842" s="37"/>
      <c r="L842" s="60"/>
      <c r="M842" s="37"/>
      <c r="N842" s="36"/>
      <c r="O842" s="37"/>
      <c r="P842" s="37"/>
      <c r="Q842" s="39"/>
      <c r="R842" s="59"/>
    </row>
    <row r="843" spans="1:19" x14ac:dyDescent="0.25">
      <c r="A843" s="92"/>
      <c r="B843" s="170"/>
      <c r="C843" s="142"/>
      <c r="D843" s="272"/>
      <c r="E843" s="226"/>
      <c r="F843" s="204">
        <f>ROUND(D843*E843,)</f>
        <v>0</v>
      </c>
      <c r="K843" s="37"/>
      <c r="L843" s="60"/>
      <c r="M843" s="37"/>
      <c r="N843" s="36"/>
      <c r="O843" s="37"/>
      <c r="P843" s="37"/>
      <c r="Q843" s="39"/>
      <c r="R843" s="59"/>
    </row>
    <row r="844" spans="1:19" x14ac:dyDescent="0.25">
      <c r="A844" s="91"/>
      <c r="B844" s="158"/>
      <c r="C844" s="151"/>
      <c r="D844" s="273"/>
      <c r="E844" s="205"/>
      <c r="F844" s="204">
        <f>ROUND(D844*E844,)</f>
        <v>0</v>
      </c>
      <c r="H844" s="126"/>
      <c r="K844" s="37"/>
      <c r="L844" s="60"/>
      <c r="M844" s="37"/>
      <c r="N844" s="36"/>
      <c r="O844" s="37"/>
      <c r="P844" s="37"/>
      <c r="Q844" s="39"/>
      <c r="R844" s="59"/>
    </row>
    <row r="845" spans="1:19" ht="15.75" thickBot="1" x14ac:dyDescent="0.3">
      <c r="A845" s="30"/>
      <c r="B845" s="24"/>
      <c r="C845" s="25"/>
      <c r="D845" s="274"/>
      <c r="E845" s="208"/>
      <c r="F845" s="186">
        <f t="shared" ref="F845" si="58">ROUND(D845*E845,)</f>
        <v>0</v>
      </c>
      <c r="K845" s="37"/>
      <c r="L845" s="60"/>
      <c r="M845" s="37"/>
      <c r="N845" s="36"/>
      <c r="O845" s="37"/>
      <c r="P845" s="37"/>
      <c r="Q845" s="39"/>
      <c r="R845" s="59"/>
    </row>
    <row r="846" spans="1:19" ht="15.75" thickBot="1" x14ac:dyDescent="0.3">
      <c r="A846" s="6"/>
      <c r="B846" s="50"/>
      <c r="C846" s="61"/>
      <c r="D846" s="37"/>
      <c r="E846" s="39" t="s">
        <v>24</v>
      </c>
      <c r="F846" s="187">
        <f>SUM(F842:F845)</f>
        <v>0</v>
      </c>
      <c r="K846" s="37"/>
      <c r="L846" s="60"/>
      <c r="M846" s="37"/>
      <c r="N846" s="36"/>
      <c r="O846" s="37"/>
      <c r="P846" s="37"/>
      <c r="Q846" s="39"/>
      <c r="R846" s="59"/>
    </row>
    <row r="847" spans="1:19" ht="15.75" thickBot="1" x14ac:dyDescent="0.3">
      <c r="A847" s="155"/>
      <c r="B847" s="9"/>
      <c r="C847" s="156"/>
      <c r="D847" s="10"/>
      <c r="E847" s="39"/>
      <c r="F847" s="212"/>
      <c r="K847" s="37"/>
      <c r="L847" s="60"/>
      <c r="M847" s="37"/>
      <c r="N847" s="36"/>
      <c r="O847" s="37"/>
      <c r="P847" s="37"/>
      <c r="Q847" s="39"/>
      <c r="R847" s="59"/>
    </row>
    <row r="848" spans="1:19" ht="15.75" thickBot="1" x14ac:dyDescent="0.3">
      <c r="A848" s="69" t="s">
        <v>12</v>
      </c>
      <c r="B848" s="64" t="s">
        <v>25</v>
      </c>
      <c r="C848" s="65"/>
      <c r="D848" s="66"/>
      <c r="E848" s="67"/>
      <c r="F848" s="354">
        <f>+F846+F839+F833</f>
        <v>105943</v>
      </c>
      <c r="H848" s="126"/>
      <c r="K848" s="37"/>
      <c r="L848" s="60"/>
      <c r="M848" s="37"/>
      <c r="N848" s="143"/>
      <c r="O848" s="37"/>
      <c r="P848" s="37"/>
      <c r="Q848" s="39"/>
      <c r="R848" s="59"/>
      <c r="S848" s="37"/>
    </row>
    <row r="849" spans="1:19" ht="15.75" thickBot="1" x14ac:dyDescent="0.3">
      <c r="K849" s="37"/>
      <c r="L849" s="60"/>
      <c r="M849" s="37"/>
      <c r="N849" s="36"/>
      <c r="O849" s="37"/>
      <c r="P849" s="37"/>
      <c r="Q849" s="39"/>
      <c r="R849" s="59"/>
      <c r="S849" s="37"/>
    </row>
    <row r="850" spans="1:19" ht="41.25" customHeight="1" x14ac:dyDescent="0.25">
      <c r="A850" s="1" t="s">
        <v>47</v>
      </c>
      <c r="B850" s="355" t="s">
        <v>153</v>
      </c>
      <c r="C850" s="355"/>
      <c r="D850" s="355"/>
      <c r="E850" s="3"/>
      <c r="F850" s="146" t="s">
        <v>15</v>
      </c>
      <c r="K850" s="37"/>
      <c r="L850" s="60"/>
      <c r="M850" s="39"/>
      <c r="N850" s="36"/>
      <c r="O850" s="37"/>
      <c r="P850" s="37"/>
      <c r="Q850" s="37"/>
      <c r="R850" s="49"/>
      <c r="S850" s="37"/>
    </row>
    <row r="851" spans="1:19" ht="15.75" thickBot="1" x14ac:dyDescent="0.3">
      <c r="A851" s="70" t="s">
        <v>9</v>
      </c>
      <c r="B851" s="71">
        <v>3.1</v>
      </c>
      <c r="C851" s="10"/>
      <c r="D851" s="11"/>
      <c r="E851" s="10"/>
      <c r="F851" s="72" t="s">
        <v>40</v>
      </c>
      <c r="K851" s="37"/>
      <c r="L851" s="60"/>
      <c r="M851" s="37"/>
      <c r="N851" s="56"/>
      <c r="O851" s="37"/>
      <c r="P851" s="37"/>
      <c r="Q851" s="37"/>
      <c r="R851" s="57"/>
      <c r="S851" s="37"/>
    </row>
    <row r="852" spans="1:19" ht="15.75" thickBot="1" x14ac:dyDescent="0.3">
      <c r="A852" s="6"/>
      <c r="B852" s="36"/>
      <c r="C852" s="37"/>
      <c r="D852" s="38"/>
      <c r="E852" s="37"/>
      <c r="F852" s="7"/>
      <c r="K852" s="37"/>
      <c r="L852" s="60"/>
      <c r="M852" s="37"/>
      <c r="N852" s="36"/>
      <c r="O852" s="37"/>
      <c r="P852" s="37"/>
      <c r="Q852" s="37"/>
      <c r="R852" s="37"/>
      <c r="S852" s="37"/>
    </row>
    <row r="853" spans="1:19" ht="15.75" thickBot="1" x14ac:dyDescent="0.3">
      <c r="A853" s="33" t="s">
        <v>179</v>
      </c>
      <c r="B853" s="40" t="s">
        <v>47</v>
      </c>
      <c r="C853" s="34" t="s">
        <v>15</v>
      </c>
      <c r="D853" s="35" t="s">
        <v>16</v>
      </c>
      <c r="E853" s="34" t="s">
        <v>17</v>
      </c>
      <c r="F853" s="41" t="s">
        <v>18</v>
      </c>
      <c r="K853" s="37"/>
      <c r="L853" s="60"/>
      <c r="M853" s="39"/>
      <c r="N853" s="50"/>
      <c r="O853" s="37"/>
      <c r="P853" s="37"/>
      <c r="Q853" s="37"/>
      <c r="R853" s="37"/>
      <c r="S853" s="37"/>
    </row>
    <row r="854" spans="1:19" ht="15.75" thickBot="1" x14ac:dyDescent="0.3">
      <c r="A854" s="6"/>
      <c r="B854" s="36"/>
      <c r="C854" s="37"/>
      <c r="D854" s="38"/>
      <c r="E854" s="37"/>
      <c r="F854" s="7"/>
      <c r="K854" s="37"/>
      <c r="L854" s="60"/>
      <c r="M854" s="37"/>
      <c r="N854" s="36"/>
      <c r="O854" s="37"/>
      <c r="P854" s="37"/>
      <c r="Q854" s="37"/>
      <c r="R854" s="37"/>
      <c r="S854" s="37"/>
    </row>
    <row r="855" spans="1:19" ht="15.75" thickBot="1" x14ac:dyDescent="0.3">
      <c r="A855" s="1" t="s">
        <v>19</v>
      </c>
      <c r="B855" s="13"/>
      <c r="C855" s="14"/>
      <c r="D855" s="15"/>
      <c r="E855" s="14"/>
      <c r="F855" s="16"/>
      <c r="K855" s="37"/>
      <c r="L855" s="60"/>
      <c r="M855" s="57"/>
      <c r="N855" s="74"/>
      <c r="O855" s="57"/>
      <c r="P855" s="57"/>
      <c r="Q855" s="57"/>
      <c r="R855" s="57"/>
      <c r="S855" s="37"/>
    </row>
    <row r="856" spans="1:19" ht="106.5" customHeight="1" x14ac:dyDescent="0.25">
      <c r="A856" s="95"/>
      <c r="B856" s="96" t="s">
        <v>227</v>
      </c>
      <c r="C856" s="97" t="s">
        <v>29</v>
      </c>
      <c r="D856" s="20">
        <v>1</v>
      </c>
      <c r="E856" s="183">
        <v>95000</v>
      </c>
      <c r="F856" s="184">
        <f>ROUND(D856*E856,)</f>
        <v>95000</v>
      </c>
      <c r="K856" s="37"/>
      <c r="L856" s="60"/>
      <c r="M856" s="37"/>
      <c r="N856" s="36"/>
      <c r="O856" s="37"/>
      <c r="P856" s="37"/>
      <c r="Q856" s="37"/>
      <c r="R856" s="37"/>
      <c r="S856" s="37"/>
    </row>
    <row r="857" spans="1:19" ht="15.75" thickBot="1" x14ac:dyDescent="0.3">
      <c r="A857" s="23"/>
      <c r="B857" s="24"/>
      <c r="C857" s="25"/>
      <c r="D857" s="26"/>
      <c r="E857" s="181"/>
      <c r="F857" s="189">
        <f>ROUND(D857*E857,)</f>
        <v>0</v>
      </c>
      <c r="K857" s="37"/>
      <c r="L857" s="60"/>
      <c r="M857" s="39"/>
      <c r="N857" s="53"/>
      <c r="O857" s="39"/>
      <c r="P857" s="39"/>
      <c r="Q857" s="39"/>
      <c r="R857" s="39"/>
      <c r="S857" s="37"/>
    </row>
    <row r="858" spans="1:19" ht="15.75" thickBot="1" x14ac:dyDescent="0.3">
      <c r="A858" s="6"/>
      <c r="B858" s="36"/>
      <c r="C858" s="37"/>
      <c r="D858" s="38"/>
      <c r="E858" s="39" t="s">
        <v>20</v>
      </c>
      <c r="F858" s="187">
        <f>+F856+F857</f>
        <v>95000</v>
      </c>
      <c r="K858" s="37"/>
      <c r="L858" s="60"/>
      <c r="M858" s="55"/>
      <c r="N858" s="56"/>
      <c r="O858" s="57"/>
      <c r="P858" s="75"/>
      <c r="Q858" s="59"/>
      <c r="R858" s="59"/>
      <c r="S858" s="37"/>
    </row>
    <row r="859" spans="1:19" ht="15.75" thickBot="1" x14ac:dyDescent="0.3">
      <c r="A859" s="6"/>
      <c r="B859" s="36"/>
      <c r="C859" s="37"/>
      <c r="D859" s="38"/>
      <c r="E859" s="37"/>
      <c r="F859" s="7"/>
      <c r="K859" s="37"/>
      <c r="L859" s="60"/>
      <c r="M859" s="60"/>
      <c r="N859" s="50"/>
      <c r="O859" s="61"/>
      <c r="P859" s="75"/>
      <c r="Q859" s="75"/>
      <c r="R859" s="59"/>
      <c r="S859" s="37"/>
    </row>
    <row r="860" spans="1:19" ht="15.75" thickBot="1" x14ac:dyDescent="0.3">
      <c r="A860" s="44" t="s">
        <v>21</v>
      </c>
      <c r="B860" s="45"/>
      <c r="C860" s="46"/>
      <c r="D860" s="47"/>
      <c r="E860" s="46"/>
      <c r="F860" s="48"/>
      <c r="K860" s="37"/>
      <c r="L860" s="60"/>
      <c r="M860" s="37"/>
      <c r="N860" s="36"/>
      <c r="O860" s="37"/>
      <c r="P860" s="37"/>
      <c r="Q860" s="39"/>
      <c r="R860" s="59"/>
      <c r="S860" s="37"/>
    </row>
    <row r="861" spans="1:19" x14ac:dyDescent="0.25">
      <c r="A861" s="122"/>
      <c r="B861" s="87"/>
      <c r="C861" s="88"/>
      <c r="D861" s="123"/>
      <c r="E861" s="182"/>
      <c r="F861" s="210">
        <f t="shared" ref="F861:F863" si="59">ROUND(D861*E861,)</f>
        <v>0</v>
      </c>
      <c r="K861" s="37"/>
      <c r="L861" s="60"/>
      <c r="M861" s="37"/>
      <c r="N861" s="36"/>
      <c r="O861" s="37"/>
      <c r="P861" s="37"/>
      <c r="Q861" s="37"/>
      <c r="R861" s="37"/>
      <c r="S861" s="37"/>
    </row>
    <row r="862" spans="1:19" x14ac:dyDescent="0.25">
      <c r="A862" s="108"/>
      <c r="B862" s="43"/>
      <c r="C862" s="82"/>
      <c r="D862" s="115"/>
      <c r="E862" s="180"/>
      <c r="F862" s="196">
        <f t="shared" si="59"/>
        <v>0</v>
      </c>
      <c r="K862" s="37"/>
      <c r="L862" s="60"/>
      <c r="M862" s="39"/>
      <c r="N862" s="53"/>
      <c r="O862" s="39"/>
      <c r="P862" s="39"/>
      <c r="Q862" s="39"/>
      <c r="R862" s="39"/>
      <c r="S862" s="37"/>
    </row>
    <row r="863" spans="1:19" ht="15.75" thickBot="1" x14ac:dyDescent="0.3">
      <c r="A863" s="23"/>
      <c r="B863" s="24" t="s">
        <v>34</v>
      </c>
      <c r="C863" s="25" t="s">
        <v>35</v>
      </c>
      <c r="D863" s="26">
        <v>4.5</v>
      </c>
      <c r="E863" s="192">
        <v>1700</v>
      </c>
      <c r="F863" s="186">
        <f t="shared" si="59"/>
        <v>7650</v>
      </c>
      <c r="K863" s="37"/>
      <c r="L863" s="60"/>
      <c r="M863" s="55"/>
      <c r="N863" s="56"/>
      <c r="O863" s="57"/>
      <c r="P863" s="75"/>
      <c r="Q863" s="59"/>
      <c r="R863" s="59"/>
      <c r="S863" s="37"/>
    </row>
    <row r="864" spans="1:19" ht="15.75" thickBot="1" x14ac:dyDescent="0.3">
      <c r="A864" s="6"/>
      <c r="B864" s="36"/>
      <c r="C864" s="37"/>
      <c r="D864" s="38"/>
      <c r="E864" s="39" t="s">
        <v>22</v>
      </c>
      <c r="F864" s="187">
        <f>SUM(F861:F863)</f>
        <v>7650</v>
      </c>
      <c r="K864" s="37"/>
      <c r="L864" s="60"/>
      <c r="M864" s="37"/>
      <c r="N864" s="36"/>
      <c r="O864" s="37"/>
      <c r="P864" s="37"/>
      <c r="Q864" s="39"/>
      <c r="R864" s="59"/>
      <c r="S864" s="37"/>
    </row>
    <row r="865" spans="1:19" ht="15.75" thickBot="1" x14ac:dyDescent="0.3">
      <c r="A865" s="6"/>
      <c r="B865" s="36"/>
      <c r="C865" s="37"/>
      <c r="D865" s="38"/>
      <c r="E865" s="37"/>
      <c r="F865" s="7"/>
      <c r="K865" s="37"/>
      <c r="L865" s="60"/>
      <c r="M865" s="37"/>
      <c r="N865" s="36"/>
      <c r="O865" s="37"/>
      <c r="P865" s="37"/>
      <c r="Q865" s="37"/>
      <c r="R865" s="37"/>
      <c r="S865" s="37"/>
    </row>
    <row r="866" spans="1:19" ht="15.75" thickBot="1" x14ac:dyDescent="0.3">
      <c r="A866" s="44" t="s">
        <v>23</v>
      </c>
      <c r="B866" s="45"/>
      <c r="C866" s="46"/>
      <c r="D866" s="47"/>
      <c r="E866" s="46"/>
      <c r="F866" s="48"/>
      <c r="K866" s="37"/>
      <c r="L866" s="60"/>
      <c r="M866" s="39"/>
      <c r="N866" s="53"/>
      <c r="O866" s="39"/>
      <c r="P866" s="39"/>
      <c r="Q866" s="39"/>
      <c r="R866" s="39"/>
      <c r="S866" s="37"/>
    </row>
    <row r="867" spans="1:19" ht="48.75" customHeight="1" x14ac:dyDescent="0.25">
      <c r="A867" s="17"/>
      <c r="B867" s="96" t="s">
        <v>109</v>
      </c>
      <c r="C867" s="97" t="s">
        <v>40</v>
      </c>
      <c r="D867" s="20">
        <v>1</v>
      </c>
      <c r="E867" s="183">
        <v>539900</v>
      </c>
      <c r="F867" s="216">
        <f>ROUND(D867*E867,)</f>
        <v>539900</v>
      </c>
      <c r="K867" s="37"/>
      <c r="L867" s="60"/>
      <c r="M867" s="60"/>
      <c r="N867" s="50"/>
      <c r="O867" s="61"/>
      <c r="P867" s="37"/>
      <c r="Q867" s="75"/>
      <c r="R867" s="59"/>
      <c r="S867" s="37"/>
    </row>
    <row r="868" spans="1:19" x14ac:dyDescent="0.25">
      <c r="A868" s="92"/>
      <c r="B868" s="85" t="s">
        <v>90</v>
      </c>
      <c r="C868" s="86" t="s">
        <v>49</v>
      </c>
      <c r="D868" s="83">
        <v>1</v>
      </c>
      <c r="E868" s="182">
        <v>1822.5</v>
      </c>
      <c r="F868" s="188">
        <f>ROUND(D868*E868,)</f>
        <v>1823</v>
      </c>
      <c r="K868" s="37"/>
      <c r="L868" s="60"/>
      <c r="M868" s="60"/>
      <c r="N868" s="50"/>
      <c r="O868" s="61"/>
      <c r="P868" s="37"/>
      <c r="Q868" s="75"/>
      <c r="R868" s="59"/>
      <c r="S868" s="37"/>
    </row>
    <row r="869" spans="1:19" ht="28.5" customHeight="1" x14ac:dyDescent="0.25">
      <c r="A869" s="91"/>
      <c r="B869" s="158" t="s">
        <v>191</v>
      </c>
      <c r="C869" s="151" t="s">
        <v>40</v>
      </c>
      <c r="D869" s="83">
        <v>1</v>
      </c>
      <c r="E869" s="182">
        <v>50900</v>
      </c>
      <c r="F869" s="188">
        <f>ROUND(D869*E869,)</f>
        <v>50900</v>
      </c>
      <c r="K869" s="37"/>
      <c r="L869" s="60"/>
      <c r="M869" s="60"/>
      <c r="N869" s="50"/>
      <c r="O869" s="61"/>
      <c r="P869" s="37"/>
      <c r="Q869" s="75"/>
      <c r="R869" s="59"/>
      <c r="S869" s="37"/>
    </row>
    <row r="870" spans="1:19" ht="18" customHeight="1" thickBot="1" x14ac:dyDescent="0.3">
      <c r="A870" s="30"/>
      <c r="B870" s="24" t="s">
        <v>192</v>
      </c>
      <c r="C870" s="25" t="s">
        <v>40</v>
      </c>
      <c r="D870" s="80">
        <v>1</v>
      </c>
      <c r="E870" s="192">
        <v>2250</v>
      </c>
      <c r="F870" s="217">
        <f>ROUND(D870*E870,)</f>
        <v>2250</v>
      </c>
      <c r="H870" s="173"/>
      <c r="K870" s="37"/>
      <c r="L870" s="60"/>
      <c r="M870" s="60"/>
      <c r="N870" s="50"/>
      <c r="O870" s="61"/>
      <c r="P870" s="37"/>
      <c r="Q870" s="75"/>
      <c r="R870" s="59"/>
      <c r="S870" s="37"/>
    </row>
    <row r="871" spans="1:19" ht="15.75" thickBot="1" x14ac:dyDescent="0.3">
      <c r="A871" s="6"/>
      <c r="B871" s="50"/>
      <c r="C871" s="61"/>
      <c r="D871" s="37"/>
      <c r="E871" s="39" t="s">
        <v>24</v>
      </c>
      <c r="F871" s="190">
        <f>SUM(F867:F870)</f>
        <v>594873</v>
      </c>
      <c r="K871" s="37"/>
      <c r="L871" s="60"/>
      <c r="M871" s="60"/>
      <c r="N871" s="50"/>
      <c r="O871" s="61"/>
      <c r="P871" s="37"/>
      <c r="Q871" s="75"/>
      <c r="R871" s="59"/>
      <c r="S871" s="37"/>
    </row>
    <row r="872" spans="1:19" ht="15.75" thickBot="1" x14ac:dyDescent="0.3">
      <c r="A872" s="155"/>
      <c r="B872" s="9"/>
      <c r="C872" s="156"/>
      <c r="D872" s="10"/>
      <c r="E872" s="39"/>
      <c r="F872" s="144"/>
      <c r="K872" s="37"/>
      <c r="L872" s="60"/>
      <c r="M872" s="37"/>
      <c r="N872" s="143"/>
      <c r="O872" s="37"/>
      <c r="P872" s="37"/>
      <c r="Q872" s="39"/>
      <c r="R872" s="59"/>
      <c r="S872" s="37"/>
    </row>
    <row r="873" spans="1:19" ht="15.75" thickBot="1" x14ac:dyDescent="0.3">
      <c r="A873" s="69" t="s">
        <v>12</v>
      </c>
      <c r="B873" s="64" t="s">
        <v>25</v>
      </c>
      <c r="C873" s="65"/>
      <c r="D873" s="66"/>
      <c r="E873" s="67"/>
      <c r="F873" s="351">
        <f>+F871+F864+F858</f>
        <v>697523</v>
      </c>
      <c r="G873" s="126"/>
      <c r="K873" s="37"/>
      <c r="L873" s="60"/>
      <c r="M873" s="37"/>
      <c r="N873" s="36"/>
      <c r="O873" s="37"/>
      <c r="P873" s="37"/>
      <c r="Q873" s="37"/>
      <c r="R873" s="119"/>
      <c r="S873" s="37"/>
    </row>
    <row r="874" spans="1:19" ht="15.75" thickBot="1" x14ac:dyDescent="0.3">
      <c r="K874" s="37"/>
      <c r="L874" s="60"/>
      <c r="M874" s="39"/>
      <c r="N874" s="53"/>
      <c r="O874" s="39"/>
      <c r="P874" s="39"/>
      <c r="Q874" s="39"/>
      <c r="R874" s="39"/>
      <c r="S874" s="37"/>
    </row>
    <row r="875" spans="1:19" ht="42" customHeight="1" x14ac:dyDescent="0.25">
      <c r="A875" s="1" t="s">
        <v>47</v>
      </c>
      <c r="B875" s="355" t="s">
        <v>154</v>
      </c>
      <c r="C875" s="355"/>
      <c r="D875" s="355"/>
      <c r="E875" s="3"/>
      <c r="F875" s="146" t="s">
        <v>15</v>
      </c>
      <c r="K875" s="37"/>
      <c r="L875" s="60"/>
      <c r="M875" s="39"/>
      <c r="N875" s="36"/>
      <c r="O875" s="37"/>
      <c r="P875" s="37"/>
      <c r="Q875" s="37"/>
      <c r="R875" s="49"/>
      <c r="S875" s="37"/>
    </row>
    <row r="876" spans="1:19" ht="15.75" thickBot="1" x14ac:dyDescent="0.3">
      <c r="A876" s="70" t="s">
        <v>9</v>
      </c>
      <c r="B876" s="71">
        <v>3.2</v>
      </c>
      <c r="C876" s="10"/>
      <c r="D876" s="11"/>
      <c r="E876" s="10"/>
      <c r="F876" s="72" t="s">
        <v>40</v>
      </c>
      <c r="K876" s="37"/>
      <c r="L876" s="60"/>
      <c r="M876" s="37"/>
      <c r="N876" s="56"/>
      <c r="O876" s="37"/>
      <c r="P876" s="37"/>
      <c r="Q876" s="37"/>
      <c r="R876" s="57"/>
      <c r="S876" s="37"/>
    </row>
    <row r="877" spans="1:19" ht="15.75" thickBot="1" x14ac:dyDescent="0.3">
      <c r="A877" s="6"/>
      <c r="B877" s="36"/>
      <c r="C877" s="37"/>
      <c r="D877" s="38"/>
      <c r="E877" s="37"/>
      <c r="F877" s="7"/>
      <c r="K877" s="37"/>
      <c r="L877" s="60"/>
      <c r="M877" s="37"/>
      <c r="N877" s="36"/>
      <c r="O877" s="37"/>
      <c r="P877" s="37"/>
      <c r="Q877" s="37"/>
      <c r="R877" s="37"/>
      <c r="S877" s="37"/>
    </row>
    <row r="878" spans="1:19" ht="15.75" thickBot="1" x14ac:dyDescent="0.3">
      <c r="A878" s="33" t="s">
        <v>179</v>
      </c>
      <c r="B878" s="40" t="s">
        <v>47</v>
      </c>
      <c r="C878" s="34" t="s">
        <v>15</v>
      </c>
      <c r="D878" s="35" t="s">
        <v>16</v>
      </c>
      <c r="E878" s="34" t="s">
        <v>17</v>
      </c>
      <c r="F878" s="41" t="s">
        <v>18</v>
      </c>
      <c r="K878" s="37"/>
      <c r="L878" s="60"/>
      <c r="M878" s="39"/>
      <c r="N878" s="50"/>
      <c r="O878" s="37"/>
      <c r="P878" s="37"/>
      <c r="Q878" s="37"/>
      <c r="R878" s="37"/>
      <c r="S878" s="37"/>
    </row>
    <row r="879" spans="1:19" ht="15.75" thickBot="1" x14ac:dyDescent="0.3">
      <c r="A879" s="6"/>
      <c r="B879" s="36"/>
      <c r="C879" s="37"/>
      <c r="D879" s="38"/>
      <c r="E879" s="37"/>
      <c r="F879" s="7"/>
      <c r="K879" s="37"/>
      <c r="L879" s="60"/>
      <c r="M879" s="37"/>
      <c r="N879" s="36"/>
      <c r="O879" s="37"/>
      <c r="P879" s="37"/>
      <c r="Q879" s="37"/>
      <c r="R879" s="37"/>
      <c r="S879" s="37"/>
    </row>
    <row r="880" spans="1:19" ht="15.75" thickBot="1" x14ac:dyDescent="0.3">
      <c r="A880" s="1" t="s">
        <v>19</v>
      </c>
      <c r="B880" s="13"/>
      <c r="C880" s="14"/>
      <c r="D880" s="15"/>
      <c r="E880" s="14"/>
      <c r="F880" s="16"/>
      <c r="K880" s="37"/>
      <c r="L880" s="60"/>
      <c r="M880" s="57"/>
      <c r="N880" s="74"/>
      <c r="O880" s="57"/>
      <c r="P880" s="57"/>
      <c r="Q880" s="57"/>
      <c r="R880" s="57"/>
      <c r="S880" s="37"/>
    </row>
    <row r="881" spans="1:19" ht="176.25" customHeight="1" x14ac:dyDescent="0.25">
      <c r="A881" s="95"/>
      <c r="B881" s="96" t="s">
        <v>228</v>
      </c>
      <c r="C881" s="97" t="s">
        <v>111</v>
      </c>
      <c r="D881" s="20">
        <v>1</v>
      </c>
      <c r="E881" s="183">
        <v>80000</v>
      </c>
      <c r="F881" s="184">
        <f>ROUND(D881*E881,)</f>
        <v>80000</v>
      </c>
      <c r="K881" s="37"/>
      <c r="L881" s="60"/>
      <c r="M881" s="37"/>
      <c r="N881" s="36"/>
      <c r="O881" s="37"/>
      <c r="P881" s="37"/>
      <c r="Q881" s="37"/>
      <c r="R881" s="37"/>
      <c r="S881" s="37"/>
    </row>
    <row r="882" spans="1:19" ht="15.75" thickBot="1" x14ac:dyDescent="0.3">
      <c r="A882" s="23"/>
      <c r="B882" s="24"/>
      <c r="C882" s="25"/>
      <c r="D882" s="26"/>
      <c r="E882" s="181"/>
      <c r="F882" s="189">
        <f>ROUND(D882*E882,)</f>
        <v>0</v>
      </c>
      <c r="K882" s="37"/>
      <c r="L882" s="60"/>
      <c r="M882" s="39"/>
      <c r="N882" s="53"/>
      <c r="O882" s="39"/>
      <c r="P882" s="39"/>
      <c r="Q882" s="39"/>
      <c r="R882" s="39"/>
      <c r="S882" s="37"/>
    </row>
    <row r="883" spans="1:19" ht="15.75" thickBot="1" x14ac:dyDescent="0.3">
      <c r="A883" s="6"/>
      <c r="B883" s="36"/>
      <c r="C883" s="37"/>
      <c r="D883" s="38"/>
      <c r="E883" s="39" t="s">
        <v>20</v>
      </c>
      <c r="F883" s="187">
        <f>+F881+F882</f>
        <v>80000</v>
      </c>
      <c r="K883" s="37"/>
      <c r="L883" s="60"/>
      <c r="M883" s="55"/>
      <c r="N883" s="56"/>
      <c r="O883" s="57"/>
      <c r="P883" s="75"/>
      <c r="Q883" s="59"/>
      <c r="R883" s="59"/>
      <c r="S883" s="37"/>
    </row>
    <row r="884" spans="1:19" ht="15.75" thickBot="1" x14ac:dyDescent="0.3">
      <c r="A884" s="6"/>
      <c r="B884" s="36"/>
      <c r="C884" s="37"/>
      <c r="D884" s="38"/>
      <c r="E884" s="37"/>
      <c r="F884" s="7"/>
      <c r="K884" s="37"/>
      <c r="L884" s="60"/>
      <c r="M884" s="60"/>
      <c r="N884" s="50"/>
      <c r="O884" s="61"/>
      <c r="P884" s="75"/>
      <c r="Q884" s="75"/>
      <c r="R884" s="59"/>
      <c r="S884" s="37"/>
    </row>
    <row r="885" spans="1:19" ht="15.75" thickBot="1" x14ac:dyDescent="0.3">
      <c r="A885" s="44" t="s">
        <v>21</v>
      </c>
      <c r="B885" s="45"/>
      <c r="C885" s="46"/>
      <c r="D885" s="47"/>
      <c r="E885" s="46"/>
      <c r="F885" s="48"/>
      <c r="K885" s="37"/>
      <c r="L885" s="60"/>
      <c r="M885" s="37"/>
      <c r="N885" s="36"/>
      <c r="O885" s="37"/>
      <c r="P885" s="37"/>
      <c r="Q885" s="39"/>
      <c r="R885" s="59"/>
      <c r="S885" s="37"/>
    </row>
    <row r="886" spans="1:19" x14ac:dyDescent="0.25">
      <c r="A886" s="122"/>
      <c r="B886" s="87"/>
      <c r="C886" s="88"/>
      <c r="D886" s="123"/>
      <c r="E886" s="182"/>
      <c r="F886" s="210">
        <f t="shared" ref="F886:F888" si="60">ROUND(D886*E886,)</f>
        <v>0</v>
      </c>
      <c r="K886" s="37"/>
      <c r="L886" s="60"/>
      <c r="M886" s="37"/>
      <c r="N886" s="36"/>
      <c r="O886" s="37"/>
      <c r="P886" s="37"/>
      <c r="Q886" s="37"/>
      <c r="R886" s="37"/>
      <c r="S886" s="37"/>
    </row>
    <row r="887" spans="1:19" x14ac:dyDescent="0.25">
      <c r="A887" s="108"/>
      <c r="B887" s="43"/>
      <c r="C887" s="82"/>
      <c r="D887" s="115"/>
      <c r="E887" s="180"/>
      <c r="F887" s="196">
        <f t="shared" si="60"/>
        <v>0</v>
      </c>
      <c r="K887" s="37"/>
      <c r="L887" s="60"/>
      <c r="M887" s="39"/>
      <c r="N887" s="53"/>
      <c r="O887" s="39"/>
      <c r="P887" s="39"/>
      <c r="Q887" s="39"/>
      <c r="R887" s="39"/>
      <c r="S887" s="37"/>
    </row>
    <row r="888" spans="1:19" ht="15.75" thickBot="1" x14ac:dyDescent="0.3">
      <c r="A888" s="23"/>
      <c r="B888" s="24" t="s">
        <v>34</v>
      </c>
      <c r="C888" s="25" t="s">
        <v>35</v>
      </c>
      <c r="D888" s="26">
        <v>4.5</v>
      </c>
      <c r="E888" s="192">
        <v>1700</v>
      </c>
      <c r="F888" s="186">
        <f t="shared" si="60"/>
        <v>7650</v>
      </c>
      <c r="K888" s="37"/>
      <c r="L888" s="60"/>
      <c r="M888" s="55"/>
      <c r="N888" s="56"/>
      <c r="O888" s="57"/>
      <c r="P888" s="75"/>
      <c r="Q888" s="59"/>
      <c r="R888" s="59"/>
      <c r="S888" s="37"/>
    </row>
    <row r="889" spans="1:19" ht="15.75" thickBot="1" x14ac:dyDescent="0.3">
      <c r="A889" s="6"/>
      <c r="B889" s="36"/>
      <c r="C889" s="37"/>
      <c r="D889" s="38"/>
      <c r="E889" s="39" t="s">
        <v>22</v>
      </c>
      <c r="F889" s="187">
        <f>SUM(F886:F888)</f>
        <v>7650</v>
      </c>
      <c r="K889" s="37"/>
      <c r="L889" s="60"/>
      <c r="M889" s="37"/>
      <c r="N889" s="36"/>
      <c r="O889" s="37"/>
      <c r="P889" s="37"/>
      <c r="Q889" s="39"/>
      <c r="R889" s="59"/>
      <c r="S889" s="37"/>
    </row>
    <row r="890" spans="1:19" ht="15.75" thickBot="1" x14ac:dyDescent="0.3">
      <c r="A890" s="6"/>
      <c r="B890" s="36"/>
      <c r="C890" s="37"/>
      <c r="D890" s="38"/>
      <c r="E890" s="37"/>
      <c r="F890" s="7"/>
      <c r="K890" s="37"/>
      <c r="L890" s="60"/>
      <c r="M890" s="37"/>
      <c r="N890" s="36"/>
      <c r="O890" s="37"/>
      <c r="P890" s="37"/>
      <c r="Q890" s="37"/>
      <c r="R890" s="37"/>
      <c r="S890" s="37"/>
    </row>
    <row r="891" spans="1:19" ht="15.75" thickBot="1" x14ac:dyDescent="0.3">
      <c r="A891" s="44" t="s">
        <v>23</v>
      </c>
      <c r="B891" s="45"/>
      <c r="C891" s="46"/>
      <c r="D891" s="47"/>
      <c r="E891" s="46"/>
      <c r="F891" s="48"/>
      <c r="K891" s="37"/>
      <c r="L891" s="60"/>
      <c r="M891" s="39"/>
      <c r="N891" s="53"/>
      <c r="O891" s="39"/>
      <c r="P891" s="39"/>
      <c r="Q891" s="39"/>
      <c r="R891" s="39"/>
      <c r="S891" s="37"/>
    </row>
    <row r="892" spans="1:19" ht="34.5" customHeight="1" x14ac:dyDescent="0.25">
      <c r="A892" s="17"/>
      <c r="B892" s="96" t="s">
        <v>110</v>
      </c>
      <c r="C892" s="97" t="s">
        <v>40</v>
      </c>
      <c r="D892" s="20">
        <v>1</v>
      </c>
      <c r="E892" s="218">
        <v>154900</v>
      </c>
      <c r="F892" s="216">
        <f>ROUND(D892*E892,)</f>
        <v>154900</v>
      </c>
      <c r="K892" s="37"/>
      <c r="L892" s="60"/>
      <c r="M892" s="60"/>
      <c r="N892" s="50"/>
      <c r="O892" s="61"/>
      <c r="P892" s="37"/>
      <c r="Q892" s="75"/>
      <c r="R892" s="59"/>
      <c r="S892" s="37"/>
    </row>
    <row r="893" spans="1:19" ht="31.5" customHeight="1" x14ac:dyDescent="0.25">
      <c r="A893" s="92"/>
      <c r="B893" s="85" t="s">
        <v>200</v>
      </c>
      <c r="C893" s="86" t="s">
        <v>40</v>
      </c>
      <c r="D893" s="270">
        <v>1</v>
      </c>
      <c r="E893" s="182">
        <v>85900</v>
      </c>
      <c r="F893" s="188">
        <f>ROUND(D893*E893,)</f>
        <v>85900</v>
      </c>
      <c r="H893" s="126"/>
      <c r="K893" s="37"/>
      <c r="L893" s="60"/>
      <c r="M893" s="60"/>
      <c r="N893" s="50"/>
      <c r="O893" s="61"/>
      <c r="P893" s="37"/>
      <c r="Q893" s="75"/>
      <c r="R893" s="59"/>
      <c r="S893" s="37"/>
    </row>
    <row r="894" spans="1:19" ht="21" customHeight="1" x14ac:dyDescent="0.25">
      <c r="A894" s="92"/>
      <c r="B894" s="170" t="s">
        <v>104</v>
      </c>
      <c r="C894" s="142" t="s">
        <v>40</v>
      </c>
      <c r="D894" s="270">
        <v>1</v>
      </c>
      <c r="E894" s="182">
        <v>5000</v>
      </c>
      <c r="F894" s="188">
        <f>ROUND(D894*E894,)</f>
        <v>5000</v>
      </c>
      <c r="H894" s="126"/>
      <c r="K894" s="37"/>
      <c r="L894" s="60"/>
      <c r="M894" s="60"/>
      <c r="N894" s="50"/>
      <c r="O894" s="61"/>
      <c r="P894" s="37"/>
      <c r="Q894" s="75"/>
      <c r="R894" s="59"/>
      <c r="S894" s="37"/>
    </row>
    <row r="895" spans="1:19" ht="17.25" customHeight="1" x14ac:dyDescent="0.25">
      <c r="A895" s="91"/>
      <c r="B895" s="158" t="s">
        <v>91</v>
      </c>
      <c r="C895" s="151" t="s">
        <v>40</v>
      </c>
      <c r="D895" s="270">
        <v>1</v>
      </c>
      <c r="E895" s="182">
        <v>125900</v>
      </c>
      <c r="F895" s="188">
        <f>ROUND(D895*E895,)</f>
        <v>125900</v>
      </c>
      <c r="K895" s="37"/>
      <c r="L895" s="60"/>
      <c r="M895" s="60"/>
      <c r="N895" s="50"/>
      <c r="O895" s="61"/>
      <c r="P895" s="37"/>
      <c r="Q895" s="75"/>
      <c r="R895" s="59"/>
      <c r="S895" s="37"/>
    </row>
    <row r="896" spans="1:19" ht="16.5" customHeight="1" thickBot="1" x14ac:dyDescent="0.3">
      <c r="A896" s="30"/>
      <c r="B896" s="24" t="s">
        <v>192</v>
      </c>
      <c r="C896" s="25" t="s">
        <v>40</v>
      </c>
      <c r="D896" s="269">
        <v>1</v>
      </c>
      <c r="E896" s="192">
        <v>2250</v>
      </c>
      <c r="F896" s="217">
        <f>ROUND(D896*E896,)</f>
        <v>2250</v>
      </c>
      <c r="K896" s="37"/>
      <c r="L896" s="60"/>
      <c r="M896" s="37"/>
      <c r="N896" s="36"/>
      <c r="O896" s="37"/>
      <c r="P896" s="37"/>
      <c r="Q896" s="39"/>
      <c r="R896" s="59"/>
      <c r="S896" s="37"/>
    </row>
    <row r="897" spans="1:19" ht="15.75" thickBot="1" x14ac:dyDescent="0.3">
      <c r="A897" s="6"/>
      <c r="B897" s="50"/>
      <c r="C897" s="61"/>
      <c r="D897" s="37"/>
      <c r="E897" s="39" t="s">
        <v>24</v>
      </c>
      <c r="F897" s="190">
        <f>SUM(F892:F896)</f>
        <v>373950</v>
      </c>
      <c r="K897" s="37"/>
      <c r="L897" s="60"/>
      <c r="M897" s="37"/>
      <c r="N897" s="36"/>
      <c r="O897" s="37"/>
      <c r="P897" s="37"/>
      <c r="Q897" s="37"/>
      <c r="R897" s="119"/>
      <c r="S897" s="37"/>
    </row>
    <row r="898" spans="1:19" ht="15.75" thickBot="1" x14ac:dyDescent="0.3">
      <c r="A898" s="155"/>
      <c r="B898" s="9"/>
      <c r="C898" s="156"/>
      <c r="D898" s="10"/>
      <c r="E898" s="39"/>
      <c r="F898" s="144"/>
      <c r="K898" s="37"/>
      <c r="L898" s="60"/>
      <c r="M898" s="39"/>
      <c r="N898" s="143"/>
      <c r="O898" s="39"/>
      <c r="P898" s="39"/>
      <c r="Q898" s="39"/>
      <c r="R898" s="39"/>
      <c r="S898" s="37"/>
    </row>
    <row r="899" spans="1:19" ht="15.75" thickBot="1" x14ac:dyDescent="0.3">
      <c r="A899" s="69" t="s">
        <v>12</v>
      </c>
      <c r="B899" s="64" t="s">
        <v>25</v>
      </c>
      <c r="C899" s="65"/>
      <c r="D899" s="66"/>
      <c r="E899" s="67"/>
      <c r="F899" s="351">
        <f>+F897+F889+F883</f>
        <v>461600</v>
      </c>
      <c r="H899" s="126"/>
      <c r="K899" s="37"/>
      <c r="L899" s="60"/>
      <c r="M899" s="55"/>
      <c r="N899" s="56"/>
      <c r="O899" s="57"/>
      <c r="P899" s="75"/>
      <c r="Q899" s="59"/>
      <c r="R899" s="59"/>
      <c r="S899" s="37"/>
    </row>
    <row r="900" spans="1:19" ht="15.75" thickBot="1" x14ac:dyDescent="0.3">
      <c r="K900" s="37"/>
      <c r="L900" s="60"/>
      <c r="M900" s="37"/>
      <c r="N900" s="36"/>
      <c r="O900" s="37"/>
      <c r="P900" s="37"/>
      <c r="Q900" s="39"/>
      <c r="R900" s="59"/>
      <c r="S900" s="37"/>
    </row>
    <row r="901" spans="1:19" ht="31.5" customHeight="1" x14ac:dyDescent="0.25">
      <c r="A901" s="1" t="s">
        <v>47</v>
      </c>
      <c r="B901" s="355" t="s">
        <v>92</v>
      </c>
      <c r="C901" s="355"/>
      <c r="D901" s="355"/>
      <c r="E901" s="3"/>
      <c r="F901" s="146" t="s">
        <v>15</v>
      </c>
      <c r="K901" s="37"/>
      <c r="L901" s="60"/>
      <c r="M901" s="37"/>
      <c r="N901" s="56"/>
      <c r="O901" s="37"/>
      <c r="P901" s="37"/>
      <c r="Q901" s="37"/>
      <c r="R901" s="57"/>
      <c r="S901" s="37"/>
    </row>
    <row r="902" spans="1:19" ht="15.75" thickBot="1" x14ac:dyDescent="0.3">
      <c r="A902" s="70" t="s">
        <v>9</v>
      </c>
      <c r="B902" s="71">
        <v>3.3</v>
      </c>
      <c r="C902" s="10"/>
      <c r="D902" s="11"/>
      <c r="E902" s="10"/>
      <c r="F902" s="72" t="s">
        <v>40</v>
      </c>
      <c r="K902" s="37"/>
      <c r="L902" s="60"/>
      <c r="M902" s="37"/>
      <c r="N902" s="36"/>
      <c r="O902" s="37"/>
      <c r="P902" s="37"/>
      <c r="Q902" s="37"/>
      <c r="R902" s="37"/>
      <c r="S902" s="37"/>
    </row>
    <row r="903" spans="1:19" ht="15.75" thickBot="1" x14ac:dyDescent="0.3">
      <c r="A903" s="6"/>
      <c r="B903" s="36"/>
      <c r="C903" s="37"/>
      <c r="D903" s="38"/>
      <c r="E903" s="37"/>
      <c r="F903" s="7"/>
      <c r="K903" s="37"/>
      <c r="L903" s="60"/>
      <c r="M903" s="39"/>
      <c r="N903" s="50"/>
      <c r="O903" s="37"/>
      <c r="P903" s="37"/>
      <c r="Q903" s="37"/>
      <c r="R903" s="37"/>
      <c r="S903" s="37"/>
    </row>
    <row r="904" spans="1:19" ht="15.75" thickBot="1" x14ac:dyDescent="0.3">
      <c r="A904" s="33" t="s">
        <v>179</v>
      </c>
      <c r="B904" s="40" t="s">
        <v>47</v>
      </c>
      <c r="C904" s="34" t="s">
        <v>15</v>
      </c>
      <c r="D904" s="35" t="s">
        <v>16</v>
      </c>
      <c r="E904" s="34" t="s">
        <v>17</v>
      </c>
      <c r="F904" s="41" t="s">
        <v>18</v>
      </c>
      <c r="K904" s="37"/>
      <c r="L904" s="60"/>
      <c r="M904" s="37"/>
      <c r="N904" s="36"/>
      <c r="O904" s="37"/>
      <c r="P904" s="37"/>
      <c r="Q904" s="37"/>
      <c r="R904" s="37"/>
      <c r="S904" s="37"/>
    </row>
    <row r="905" spans="1:19" ht="15.75" thickBot="1" x14ac:dyDescent="0.3">
      <c r="A905" s="6"/>
      <c r="B905" s="36"/>
      <c r="C905" s="37"/>
      <c r="D905" s="38"/>
      <c r="E905" s="37"/>
      <c r="F905" s="7"/>
      <c r="K905" s="37"/>
      <c r="L905" s="60"/>
      <c r="M905" s="57"/>
      <c r="N905" s="74"/>
      <c r="O905" s="57"/>
      <c r="P905" s="57"/>
      <c r="Q905" s="57"/>
      <c r="R905" s="57"/>
      <c r="S905" s="37"/>
    </row>
    <row r="906" spans="1:19" ht="15.75" thickBot="1" x14ac:dyDescent="0.3">
      <c r="A906" s="1" t="s">
        <v>19</v>
      </c>
      <c r="B906" s="13"/>
      <c r="C906" s="14"/>
      <c r="D906" s="15"/>
      <c r="E906" s="14"/>
      <c r="F906" s="16"/>
      <c r="K906" s="37"/>
      <c r="L906" s="60"/>
      <c r="M906" s="37"/>
      <c r="N906" s="36"/>
      <c r="O906" s="37"/>
      <c r="P906" s="37"/>
      <c r="Q906" s="37"/>
      <c r="R906" s="37"/>
      <c r="S906" s="37"/>
    </row>
    <row r="907" spans="1:19" ht="105.75" customHeight="1" x14ac:dyDescent="0.25">
      <c r="A907" s="95"/>
      <c r="B907" s="96" t="s">
        <v>229</v>
      </c>
      <c r="C907" s="97" t="s">
        <v>29</v>
      </c>
      <c r="D907" s="20">
        <v>1</v>
      </c>
      <c r="E907" s="183">
        <v>95000</v>
      </c>
      <c r="F907" s="184">
        <f>ROUND(D907*E907,)</f>
        <v>95000</v>
      </c>
      <c r="K907" s="37"/>
      <c r="L907" s="60"/>
      <c r="M907" s="39"/>
      <c r="N907" s="53"/>
      <c r="O907" s="39"/>
      <c r="P907" s="39"/>
      <c r="Q907" s="39"/>
      <c r="R907" s="39"/>
      <c r="S907" s="37"/>
    </row>
    <row r="908" spans="1:19" ht="15.75" thickBot="1" x14ac:dyDescent="0.3">
      <c r="A908" s="23"/>
      <c r="B908" s="24"/>
      <c r="C908" s="25"/>
      <c r="D908" s="26"/>
      <c r="E908" s="181"/>
      <c r="F908" s="189">
        <f>ROUND(D908*E908,)</f>
        <v>0</v>
      </c>
      <c r="K908" s="37"/>
      <c r="L908" s="60"/>
      <c r="M908" s="55"/>
      <c r="N908" s="56"/>
      <c r="O908" s="57"/>
      <c r="P908" s="75"/>
      <c r="Q908" s="59"/>
      <c r="R908" s="59"/>
      <c r="S908" s="37"/>
    </row>
    <row r="909" spans="1:19" ht="15.75" thickBot="1" x14ac:dyDescent="0.3">
      <c r="A909" s="6"/>
      <c r="B909" s="36"/>
      <c r="C909" s="37"/>
      <c r="D909" s="38"/>
      <c r="E909" s="39" t="s">
        <v>20</v>
      </c>
      <c r="F909" s="187">
        <f>+F907+F908</f>
        <v>95000</v>
      </c>
      <c r="K909" s="37"/>
      <c r="L909" s="60"/>
      <c r="M909" s="60"/>
      <c r="N909" s="50"/>
      <c r="O909" s="61"/>
      <c r="P909" s="75"/>
      <c r="Q909" s="75"/>
      <c r="R909" s="59"/>
      <c r="S909" s="37"/>
    </row>
    <row r="910" spans="1:19" ht="15.75" thickBot="1" x14ac:dyDescent="0.3">
      <c r="A910" s="6"/>
      <c r="B910" s="36"/>
      <c r="C910" s="37"/>
      <c r="D910" s="38"/>
      <c r="E910" s="37"/>
      <c r="F910" s="7"/>
      <c r="K910" s="37"/>
      <c r="L910" s="60"/>
      <c r="M910" s="37"/>
      <c r="N910" s="36"/>
      <c r="O910" s="37"/>
      <c r="P910" s="37"/>
      <c r="Q910" s="39"/>
      <c r="R910" s="59"/>
      <c r="S910" s="37"/>
    </row>
    <row r="911" spans="1:19" ht="15.75" thickBot="1" x14ac:dyDescent="0.3">
      <c r="A911" s="44" t="s">
        <v>21</v>
      </c>
      <c r="B911" s="45"/>
      <c r="C911" s="46"/>
      <c r="D911" s="47"/>
      <c r="E911" s="46"/>
      <c r="F911" s="48"/>
      <c r="K911" s="37"/>
      <c r="L911" s="60"/>
      <c r="M911" s="37"/>
      <c r="N911" s="36"/>
      <c r="O911" s="37"/>
      <c r="P911" s="37"/>
      <c r="Q911" s="37"/>
      <c r="R911" s="37"/>
      <c r="S911" s="37"/>
    </row>
    <row r="912" spans="1:19" x14ac:dyDescent="0.25">
      <c r="A912" s="122"/>
      <c r="B912" s="87"/>
      <c r="C912" s="88"/>
      <c r="D912" s="123"/>
      <c r="E912" s="182"/>
      <c r="F912" s="210">
        <f t="shared" ref="F912:F914" si="61">ROUND(D912*E912,)</f>
        <v>0</v>
      </c>
      <c r="K912" s="37"/>
      <c r="L912" s="60"/>
      <c r="M912" s="39"/>
      <c r="N912" s="53"/>
      <c r="O912" s="39"/>
      <c r="P912" s="39"/>
      <c r="Q912" s="39"/>
      <c r="R912" s="39"/>
      <c r="S912" s="37"/>
    </row>
    <row r="913" spans="1:19" x14ac:dyDescent="0.25">
      <c r="A913" s="108"/>
      <c r="B913" s="43"/>
      <c r="C913" s="82"/>
      <c r="D913" s="115"/>
      <c r="E913" s="180"/>
      <c r="F913" s="196">
        <f t="shared" si="61"/>
        <v>0</v>
      </c>
      <c r="K913" s="37"/>
      <c r="L913" s="60"/>
      <c r="M913" s="55"/>
      <c r="N913" s="56"/>
      <c r="O913" s="57"/>
      <c r="P913" s="75"/>
      <c r="Q913" s="59"/>
      <c r="R913" s="59"/>
      <c r="S913" s="37"/>
    </row>
    <row r="914" spans="1:19" ht="15.75" thickBot="1" x14ac:dyDescent="0.3">
      <c r="A914" s="23"/>
      <c r="B914" s="24" t="s">
        <v>34</v>
      </c>
      <c r="C914" s="25" t="s">
        <v>35</v>
      </c>
      <c r="D914" s="26">
        <v>4.5</v>
      </c>
      <c r="E914" s="192">
        <v>1700</v>
      </c>
      <c r="F914" s="186">
        <f t="shared" si="61"/>
        <v>7650</v>
      </c>
      <c r="K914" s="37"/>
      <c r="L914" s="60"/>
      <c r="M914" s="37"/>
      <c r="N914" s="36"/>
      <c r="O914" s="37"/>
      <c r="P914" s="37"/>
      <c r="Q914" s="39"/>
      <c r="R914" s="59"/>
      <c r="S914" s="37"/>
    </row>
    <row r="915" spans="1:19" ht="15.75" thickBot="1" x14ac:dyDescent="0.3">
      <c r="A915" s="6"/>
      <c r="B915" s="36"/>
      <c r="C915" s="37"/>
      <c r="D915" s="38"/>
      <c r="E915" s="39" t="s">
        <v>22</v>
      </c>
      <c r="F915" s="187">
        <f>SUM(F912:F914)</f>
        <v>7650</v>
      </c>
      <c r="K915" s="37"/>
      <c r="L915" s="60"/>
      <c r="M915" s="37"/>
      <c r="N915" s="36"/>
      <c r="O915" s="37"/>
      <c r="P915" s="37"/>
      <c r="Q915" s="37"/>
      <c r="R915" s="37"/>
      <c r="S915" s="37"/>
    </row>
    <row r="916" spans="1:19" ht="15.75" thickBot="1" x14ac:dyDescent="0.3">
      <c r="A916" s="6"/>
      <c r="B916" s="36"/>
      <c r="C916" s="37"/>
      <c r="D916" s="38"/>
      <c r="E916" s="37"/>
      <c r="F916" s="7"/>
      <c r="K916" s="37"/>
      <c r="L916" s="60"/>
      <c r="M916" s="39"/>
      <c r="N916" s="53"/>
      <c r="O916" s="39"/>
      <c r="P916" s="39"/>
      <c r="Q916" s="39"/>
      <c r="R916" s="39"/>
      <c r="S916" s="37"/>
    </row>
    <row r="917" spans="1:19" ht="15.75" thickBot="1" x14ac:dyDescent="0.3">
      <c r="A917" s="44" t="s">
        <v>23</v>
      </c>
      <c r="B917" s="45"/>
      <c r="C917" s="46"/>
      <c r="D917" s="47"/>
      <c r="E917" s="46"/>
      <c r="F917" s="48"/>
      <c r="K917" s="37"/>
      <c r="L917" s="60"/>
      <c r="M917" s="60"/>
      <c r="N917" s="50"/>
      <c r="O917" s="61"/>
      <c r="P917" s="37"/>
      <c r="Q917" s="75"/>
      <c r="R917" s="59"/>
      <c r="S917" s="37"/>
    </row>
    <row r="918" spans="1:19" ht="76.5" customHeight="1" x14ac:dyDescent="0.25">
      <c r="A918" s="17"/>
      <c r="B918" s="96" t="s">
        <v>193</v>
      </c>
      <c r="C918" s="97" t="s">
        <v>40</v>
      </c>
      <c r="D918" s="20">
        <v>1</v>
      </c>
      <c r="E918" s="183">
        <v>381900</v>
      </c>
      <c r="F918" s="216">
        <f>ROUND(D918*E918,)</f>
        <v>381900</v>
      </c>
      <c r="K918" s="37"/>
      <c r="L918" s="252"/>
      <c r="M918" s="60"/>
      <c r="N918" s="50"/>
      <c r="O918" s="61"/>
      <c r="P918" s="37"/>
      <c r="Q918" s="75"/>
      <c r="R918" s="59"/>
      <c r="S918" s="37"/>
    </row>
    <row r="919" spans="1:19" ht="17.25" customHeight="1" x14ac:dyDescent="0.25">
      <c r="A919" s="92"/>
      <c r="B919" s="170" t="s">
        <v>90</v>
      </c>
      <c r="C919" s="142" t="s">
        <v>49</v>
      </c>
      <c r="D919" s="148">
        <v>1</v>
      </c>
      <c r="E919" s="182">
        <v>1822.5</v>
      </c>
      <c r="F919" s="188">
        <f>ROUND(D919*E919,)</f>
        <v>1823</v>
      </c>
      <c r="H919" s="253"/>
      <c r="K919" s="37"/>
      <c r="L919" s="60"/>
      <c r="M919" s="60"/>
      <c r="N919" s="50"/>
      <c r="O919" s="61"/>
      <c r="P919" s="37"/>
      <c r="Q919" s="75"/>
      <c r="R919" s="59"/>
      <c r="S919" s="37"/>
    </row>
    <row r="920" spans="1:19" ht="33" customHeight="1" x14ac:dyDescent="0.25">
      <c r="A920" s="91"/>
      <c r="B920" s="85" t="s">
        <v>201</v>
      </c>
      <c r="C920" s="151" t="s">
        <v>40</v>
      </c>
      <c r="D920" s="148">
        <v>1</v>
      </c>
      <c r="E920" s="182">
        <v>343900</v>
      </c>
      <c r="F920" s="188">
        <f>ROUND(D920*E920,)</f>
        <v>343900</v>
      </c>
      <c r="K920" s="37"/>
      <c r="L920" s="60"/>
      <c r="M920" s="60"/>
      <c r="N920" s="143"/>
      <c r="O920" s="61"/>
      <c r="P920" s="37"/>
      <c r="Q920" s="75"/>
      <c r="R920" s="59"/>
      <c r="S920" s="37"/>
    </row>
    <row r="921" spans="1:19" ht="21" customHeight="1" thickBot="1" x14ac:dyDescent="0.3">
      <c r="A921" s="30"/>
      <c r="B921" s="24" t="s">
        <v>192</v>
      </c>
      <c r="C921" s="25" t="s">
        <v>40</v>
      </c>
      <c r="D921" s="269">
        <v>1</v>
      </c>
      <c r="E921" s="192">
        <v>2250</v>
      </c>
      <c r="F921" s="217">
        <f>ROUND(D921*E921,)</f>
        <v>2250</v>
      </c>
      <c r="K921" s="37"/>
      <c r="L921" s="60"/>
      <c r="M921" s="37"/>
      <c r="N921" s="36"/>
      <c r="O921" s="37"/>
      <c r="P921" s="37"/>
      <c r="Q921" s="39"/>
      <c r="R921" s="59"/>
      <c r="S921" s="37"/>
    </row>
    <row r="922" spans="1:19" ht="15.75" thickBot="1" x14ac:dyDescent="0.3">
      <c r="A922" s="6"/>
      <c r="B922" s="50"/>
      <c r="C922" s="61"/>
      <c r="D922" s="37"/>
      <c r="E922" s="39" t="s">
        <v>24</v>
      </c>
      <c r="F922" s="190">
        <f>SUM(F918:F921)</f>
        <v>729873</v>
      </c>
      <c r="K922" s="37"/>
      <c r="L922" s="60"/>
      <c r="M922" s="37"/>
      <c r="N922" s="36"/>
      <c r="O922" s="37"/>
      <c r="P922" s="37"/>
      <c r="Q922" s="37"/>
      <c r="R922" s="119"/>
      <c r="S922" s="37"/>
    </row>
    <row r="923" spans="1:19" ht="15.75" thickBot="1" x14ac:dyDescent="0.3">
      <c r="A923" s="155"/>
      <c r="B923" s="9"/>
      <c r="C923" s="156"/>
      <c r="D923" s="10"/>
      <c r="E923" s="39"/>
      <c r="F923" s="144"/>
      <c r="K923" s="37"/>
      <c r="L923" s="60"/>
      <c r="M923" s="37"/>
      <c r="N923" s="36"/>
      <c r="O923" s="37"/>
      <c r="P923" s="37"/>
      <c r="Q923" s="37"/>
      <c r="R923" s="37"/>
      <c r="S923" s="37"/>
    </row>
    <row r="924" spans="1:19" ht="17.25" customHeight="1" thickBot="1" x14ac:dyDescent="0.3">
      <c r="A924" s="69" t="s">
        <v>12</v>
      </c>
      <c r="B924" s="64" t="s">
        <v>25</v>
      </c>
      <c r="C924" s="65"/>
      <c r="D924" s="66"/>
      <c r="E924" s="67"/>
      <c r="F924" s="351">
        <f>+F922+F915+F909</f>
        <v>832523</v>
      </c>
      <c r="H924" s="126"/>
      <c r="K924" s="37"/>
      <c r="L924" s="60"/>
      <c r="M924" s="39"/>
      <c r="N924" s="56"/>
      <c r="O924" s="37"/>
      <c r="P924" s="38"/>
      <c r="Q924" s="37"/>
      <c r="R924" s="49"/>
      <c r="S924" s="37"/>
    </row>
    <row r="925" spans="1:19" ht="15.75" thickBot="1" x14ac:dyDescent="0.3">
      <c r="K925" s="37"/>
      <c r="L925" s="60"/>
      <c r="M925" s="174"/>
      <c r="N925" s="56"/>
      <c r="O925" s="37"/>
      <c r="P925" s="38"/>
      <c r="Q925" s="37"/>
      <c r="R925" s="57"/>
      <c r="S925" s="37"/>
    </row>
    <row r="926" spans="1:19" ht="29.25" customHeight="1" x14ac:dyDescent="0.25">
      <c r="A926" s="1" t="s">
        <v>47</v>
      </c>
      <c r="B926" s="355" t="s">
        <v>61</v>
      </c>
      <c r="C926" s="355"/>
      <c r="D926" s="355"/>
      <c r="E926" s="3"/>
      <c r="F926" s="146" t="s">
        <v>15</v>
      </c>
      <c r="K926" s="37"/>
      <c r="L926" s="60"/>
      <c r="M926" s="39"/>
      <c r="N926" s="50"/>
      <c r="O926" s="37"/>
      <c r="P926" s="38"/>
      <c r="Q926" s="37"/>
      <c r="R926" s="37"/>
      <c r="S926" s="37"/>
    </row>
    <row r="927" spans="1:19" ht="15.75" thickBot="1" x14ac:dyDescent="0.3">
      <c r="A927" s="70" t="s">
        <v>9</v>
      </c>
      <c r="B927" s="71">
        <v>3.4</v>
      </c>
      <c r="C927" s="10"/>
      <c r="D927" s="11"/>
      <c r="E927" s="10"/>
      <c r="F927" s="72" t="s">
        <v>62</v>
      </c>
      <c r="K927" s="37"/>
      <c r="L927" s="60"/>
      <c r="M927" s="49"/>
      <c r="N927" s="51"/>
      <c r="O927" s="49"/>
      <c r="P927" s="52"/>
      <c r="Q927" s="49"/>
      <c r="R927" s="49"/>
      <c r="S927" s="37"/>
    </row>
    <row r="928" spans="1:19" ht="15.75" thickBot="1" x14ac:dyDescent="0.3">
      <c r="A928" s="6"/>
      <c r="B928" s="36"/>
      <c r="C928" s="37"/>
      <c r="D928" s="38"/>
      <c r="E928" s="37"/>
      <c r="F928" s="7"/>
      <c r="K928" s="37"/>
      <c r="L928" s="60"/>
      <c r="M928" s="37"/>
      <c r="N928" s="36"/>
      <c r="O928" s="37"/>
      <c r="P928" s="38"/>
      <c r="Q928" s="37"/>
      <c r="R928" s="37"/>
      <c r="S928" s="37"/>
    </row>
    <row r="929" spans="1:19" ht="15.75" thickBot="1" x14ac:dyDescent="0.3">
      <c r="A929" s="33" t="s">
        <v>179</v>
      </c>
      <c r="B929" s="40" t="s">
        <v>47</v>
      </c>
      <c r="C929" s="34" t="s">
        <v>15</v>
      </c>
      <c r="D929" s="35" t="s">
        <v>16</v>
      </c>
      <c r="E929" s="34" t="s">
        <v>17</v>
      </c>
      <c r="F929" s="41" t="s">
        <v>18</v>
      </c>
      <c r="K929" s="37"/>
      <c r="L929" s="60"/>
      <c r="M929" s="39"/>
      <c r="N929" s="53"/>
      <c r="O929" s="39"/>
      <c r="P929" s="54"/>
      <c r="Q929" s="39"/>
      <c r="R929" s="39"/>
      <c r="S929" s="37"/>
    </row>
    <row r="930" spans="1:19" ht="15.75" thickBot="1" x14ac:dyDescent="0.3">
      <c r="A930" s="6"/>
      <c r="B930" s="36"/>
      <c r="C930" s="37"/>
      <c r="D930" s="38"/>
      <c r="E930" s="37"/>
      <c r="F930" s="7"/>
      <c r="K930" s="37"/>
      <c r="L930" s="60"/>
      <c r="M930" s="60"/>
      <c r="N930" s="50"/>
      <c r="O930" s="61"/>
      <c r="P930" s="58"/>
      <c r="Q930" s="59"/>
      <c r="R930" s="59"/>
      <c r="S930" s="37"/>
    </row>
    <row r="931" spans="1:19" ht="15.75" thickBot="1" x14ac:dyDescent="0.3">
      <c r="A931" s="1" t="s">
        <v>19</v>
      </c>
      <c r="B931" s="13"/>
      <c r="C931" s="14"/>
      <c r="D931" s="15"/>
      <c r="E931" s="14"/>
      <c r="F931" s="16"/>
      <c r="K931" s="37"/>
      <c r="L931" s="60"/>
      <c r="M931" s="60"/>
      <c r="N931" s="50"/>
      <c r="O931" s="61"/>
      <c r="P931" s="58"/>
      <c r="Q931" s="59"/>
      <c r="R931" s="59"/>
      <c r="S931" s="37"/>
    </row>
    <row r="932" spans="1:19" ht="27.75" customHeight="1" x14ac:dyDescent="0.25">
      <c r="A932" s="95"/>
      <c r="B932" s="96" t="s">
        <v>112</v>
      </c>
      <c r="C932" s="97" t="s">
        <v>111</v>
      </c>
      <c r="D932" s="20">
        <v>0.39</v>
      </c>
      <c r="E932" s="183">
        <v>82333</v>
      </c>
      <c r="F932" s="184">
        <f>ROUND(D932*E932,)</f>
        <v>32110</v>
      </c>
      <c r="K932" s="37"/>
      <c r="L932" s="60"/>
      <c r="M932" s="37"/>
      <c r="N932" s="36"/>
      <c r="O932" s="37"/>
      <c r="P932" s="38"/>
      <c r="Q932" s="39"/>
      <c r="R932" s="59"/>
      <c r="S932" s="37"/>
    </row>
    <row r="933" spans="1:19" ht="15.75" thickBot="1" x14ac:dyDescent="0.3">
      <c r="A933" s="23"/>
      <c r="B933" s="24"/>
      <c r="C933" s="25"/>
      <c r="D933" s="26"/>
      <c r="E933" s="181"/>
      <c r="F933" s="189">
        <f>ROUND(D933*E933,)</f>
        <v>0</v>
      </c>
      <c r="K933" s="37"/>
      <c r="L933" s="60"/>
      <c r="M933" s="37"/>
      <c r="N933" s="36"/>
      <c r="O933" s="37"/>
      <c r="P933" s="38"/>
      <c r="Q933" s="37"/>
      <c r="R933" s="37"/>
      <c r="S933" s="37"/>
    </row>
    <row r="934" spans="1:19" ht="15.75" thickBot="1" x14ac:dyDescent="0.3">
      <c r="A934" s="6"/>
      <c r="B934" s="36"/>
      <c r="C934" s="37"/>
      <c r="D934" s="38"/>
      <c r="E934" s="39" t="s">
        <v>20</v>
      </c>
      <c r="F934" s="187">
        <f>+F932+F933</f>
        <v>32110</v>
      </c>
      <c r="K934" s="37"/>
      <c r="L934" s="60"/>
      <c r="M934" s="39"/>
      <c r="N934" s="53"/>
      <c r="O934" s="39"/>
      <c r="P934" s="54"/>
      <c r="Q934" s="39"/>
      <c r="R934" s="39"/>
      <c r="S934" s="37"/>
    </row>
    <row r="935" spans="1:19" ht="15.75" thickBot="1" x14ac:dyDescent="0.3">
      <c r="A935" s="6"/>
      <c r="B935" s="36"/>
      <c r="C935" s="37"/>
      <c r="D935" s="38"/>
      <c r="E935" s="37"/>
      <c r="F935" s="7"/>
      <c r="K935" s="37"/>
      <c r="L935" s="60"/>
      <c r="M935" s="39"/>
      <c r="N935" s="175"/>
      <c r="O935" s="176"/>
      <c r="P935" s="177"/>
      <c r="Q935" s="178"/>
      <c r="R935" s="59"/>
      <c r="S935" s="37"/>
    </row>
    <row r="936" spans="1:19" ht="15.75" thickBot="1" x14ac:dyDescent="0.3">
      <c r="A936" s="44" t="s">
        <v>21</v>
      </c>
      <c r="B936" s="45"/>
      <c r="C936" s="46"/>
      <c r="D936" s="47"/>
      <c r="E936" s="46"/>
      <c r="F936" s="48"/>
      <c r="K936" s="37"/>
      <c r="L936" s="60"/>
      <c r="M936" s="60"/>
      <c r="N936" s="50"/>
      <c r="O936" s="61"/>
      <c r="P936" s="58"/>
      <c r="Q936" s="59"/>
      <c r="R936" s="59"/>
      <c r="S936" s="37"/>
    </row>
    <row r="937" spans="1:19" x14ac:dyDescent="0.25">
      <c r="A937" s="103"/>
      <c r="B937" s="96" t="s">
        <v>34</v>
      </c>
      <c r="C937" s="97" t="s">
        <v>35</v>
      </c>
      <c r="D937" s="20">
        <v>1.5</v>
      </c>
      <c r="E937" s="183">
        <v>1700</v>
      </c>
      <c r="F937" s="184">
        <f t="shared" ref="F937:F940" si="62">ROUND(D937*E937,)</f>
        <v>2550</v>
      </c>
      <c r="K937" s="37"/>
      <c r="L937" s="60"/>
      <c r="M937" s="37"/>
      <c r="N937" s="36"/>
      <c r="O937" s="37"/>
      <c r="P937" s="38"/>
      <c r="Q937" s="39"/>
      <c r="R937" s="59"/>
      <c r="S937" s="37"/>
    </row>
    <row r="938" spans="1:19" ht="30" x14ac:dyDescent="0.25">
      <c r="A938" s="122"/>
      <c r="B938" s="236" t="s">
        <v>209</v>
      </c>
      <c r="C938" s="237" t="s">
        <v>37</v>
      </c>
      <c r="D938" s="123">
        <v>0.8</v>
      </c>
      <c r="E938" s="182">
        <v>1200</v>
      </c>
      <c r="F938" s="185">
        <f t="shared" si="62"/>
        <v>960</v>
      </c>
      <c r="K938" s="37"/>
      <c r="L938" s="60"/>
      <c r="M938" s="37"/>
      <c r="N938" s="36"/>
      <c r="O938" s="37"/>
      <c r="P938" s="38"/>
      <c r="Q938" s="39"/>
      <c r="R938" s="59"/>
      <c r="S938" s="37"/>
    </row>
    <row r="939" spans="1:19" ht="15.75" customHeight="1" x14ac:dyDescent="0.25">
      <c r="A939" s="108"/>
      <c r="B939" s="85" t="s">
        <v>211</v>
      </c>
      <c r="C939" s="86" t="s">
        <v>40</v>
      </c>
      <c r="D939" s="83">
        <v>0.8</v>
      </c>
      <c r="E939" s="180">
        <v>1200</v>
      </c>
      <c r="F939" s="185">
        <f t="shared" si="62"/>
        <v>960</v>
      </c>
      <c r="K939" s="37"/>
      <c r="L939" s="60"/>
      <c r="M939" s="37"/>
      <c r="N939" s="36"/>
      <c r="O939" s="37"/>
      <c r="P939" s="38"/>
      <c r="Q939" s="37"/>
      <c r="R939" s="37"/>
      <c r="S939" s="37"/>
    </row>
    <row r="940" spans="1:19" ht="15.75" thickBot="1" x14ac:dyDescent="0.3">
      <c r="A940" s="23"/>
      <c r="B940" s="24" t="s">
        <v>36</v>
      </c>
      <c r="C940" s="25" t="s">
        <v>37</v>
      </c>
      <c r="D940" s="26">
        <v>0.8</v>
      </c>
      <c r="E940" s="181">
        <v>120</v>
      </c>
      <c r="F940" s="186">
        <f t="shared" si="62"/>
        <v>96</v>
      </c>
      <c r="K940" s="37"/>
      <c r="L940" s="60"/>
      <c r="M940" s="39"/>
      <c r="N940" s="53"/>
      <c r="O940" s="39"/>
      <c r="P940" s="54"/>
      <c r="Q940" s="39"/>
      <c r="R940" s="39"/>
      <c r="S940" s="37"/>
    </row>
    <row r="941" spans="1:19" ht="15.75" thickBot="1" x14ac:dyDescent="0.3">
      <c r="A941" s="6"/>
      <c r="B941" s="36"/>
      <c r="C941" s="37"/>
      <c r="D941" s="38"/>
      <c r="E941" s="39" t="s">
        <v>22</v>
      </c>
      <c r="F941" s="187">
        <f>SUM(F937:F940)</f>
        <v>4566</v>
      </c>
      <c r="K941" s="37"/>
      <c r="L941" s="60"/>
      <c r="M941" s="55"/>
      <c r="N941" s="56"/>
      <c r="O941" s="57"/>
      <c r="P941" s="58"/>
      <c r="Q941" s="59"/>
      <c r="R941" s="59"/>
      <c r="S941" s="37"/>
    </row>
    <row r="942" spans="1:19" ht="15.75" thickBot="1" x14ac:dyDescent="0.3">
      <c r="A942" s="6"/>
      <c r="B942" s="36"/>
      <c r="C942" s="37"/>
      <c r="D942" s="38"/>
      <c r="E942" s="37"/>
      <c r="F942" s="7"/>
      <c r="K942" s="37"/>
      <c r="L942" s="60"/>
      <c r="M942" s="55"/>
      <c r="N942" s="56"/>
      <c r="O942" s="57"/>
      <c r="P942" s="58"/>
      <c r="Q942" s="59"/>
      <c r="R942" s="59"/>
      <c r="S942" s="37"/>
    </row>
    <row r="943" spans="1:19" ht="15.75" thickBot="1" x14ac:dyDescent="0.3">
      <c r="A943" s="44" t="s">
        <v>23</v>
      </c>
      <c r="B943" s="45"/>
      <c r="C943" s="46"/>
      <c r="D943" s="47"/>
      <c r="E943" s="46"/>
      <c r="F943" s="48"/>
      <c r="K943" s="37"/>
      <c r="L943" s="60"/>
      <c r="M943" s="37"/>
      <c r="N943" s="36"/>
      <c r="O943" s="37"/>
      <c r="P943" s="38"/>
      <c r="Q943" s="39"/>
      <c r="R943" s="59"/>
      <c r="S943" s="37"/>
    </row>
    <row r="944" spans="1:19" x14ac:dyDescent="0.25">
      <c r="A944" s="17"/>
      <c r="B944" s="96"/>
      <c r="C944" s="97"/>
      <c r="D944" s="101"/>
      <c r="E944" s="191"/>
      <c r="F944" s="220">
        <f>ROUND(D944*E944,)</f>
        <v>0</v>
      </c>
      <c r="K944" s="37"/>
      <c r="L944" s="60"/>
      <c r="M944" s="37"/>
      <c r="N944" s="36"/>
      <c r="O944" s="37"/>
      <c r="P944" s="38"/>
      <c r="Q944" s="37"/>
      <c r="R944" s="37"/>
      <c r="S944" s="37"/>
    </row>
    <row r="945" spans="1:19" x14ac:dyDescent="0.25">
      <c r="A945" s="92"/>
      <c r="B945" s="170"/>
      <c r="C945" s="142"/>
      <c r="D945" s="219"/>
      <c r="E945" s="221"/>
      <c r="F945" s="222">
        <f>ROUND(D945*E945,)</f>
        <v>0</v>
      </c>
      <c r="K945" s="37"/>
      <c r="L945" s="60"/>
      <c r="M945" s="51"/>
      <c r="N945" s="53"/>
      <c r="O945" s="37"/>
      <c r="P945" s="38"/>
      <c r="Q945" s="37"/>
      <c r="R945" s="120"/>
      <c r="S945" s="37"/>
    </row>
    <row r="946" spans="1:19" x14ac:dyDescent="0.25">
      <c r="A946" s="91"/>
      <c r="B946" s="85"/>
      <c r="C946" s="151"/>
      <c r="D946" s="171"/>
      <c r="E946" s="221"/>
      <c r="F946" s="222">
        <f>ROUND(D946*E946,)</f>
        <v>0</v>
      </c>
      <c r="K946" s="37"/>
      <c r="L946" s="60"/>
      <c r="M946" s="55"/>
      <c r="N946" s="56"/>
      <c r="O946" s="57"/>
      <c r="P946" s="75"/>
      <c r="Q946" s="59"/>
      <c r="R946" s="59"/>
      <c r="S946" s="37"/>
    </row>
    <row r="947" spans="1:19" ht="15.75" thickBot="1" x14ac:dyDescent="0.3">
      <c r="A947" s="30"/>
      <c r="B947" s="24"/>
      <c r="C947" s="25"/>
      <c r="D947" s="172"/>
      <c r="E947" s="223"/>
      <c r="F947" s="224">
        <f>ROUND(D947*E947,)</f>
        <v>0</v>
      </c>
      <c r="K947" s="37"/>
      <c r="L947" s="60"/>
      <c r="M947" s="37"/>
      <c r="N947" s="36"/>
      <c r="O947" s="37"/>
      <c r="P947" s="37"/>
      <c r="Q947" s="39"/>
      <c r="R947" s="59"/>
      <c r="S947" s="37"/>
    </row>
    <row r="948" spans="1:19" ht="15.75" thickBot="1" x14ac:dyDescent="0.3">
      <c r="A948" s="6"/>
      <c r="B948" s="50"/>
      <c r="C948" s="61"/>
      <c r="D948" s="37"/>
      <c r="E948" s="39" t="s">
        <v>24</v>
      </c>
      <c r="F948" s="225">
        <f>SUM(F944:F947)</f>
        <v>0</v>
      </c>
      <c r="K948" s="37"/>
      <c r="L948" s="60"/>
      <c r="M948" s="37"/>
      <c r="N948" s="36"/>
      <c r="O948" s="37"/>
      <c r="P948" s="37"/>
      <c r="Q948" s="37"/>
      <c r="R948" s="37"/>
      <c r="S948" s="37"/>
    </row>
    <row r="949" spans="1:19" ht="15.75" thickBot="1" x14ac:dyDescent="0.3">
      <c r="A949" s="155"/>
      <c r="B949" s="9"/>
      <c r="C949" s="156"/>
      <c r="D949" s="10"/>
      <c r="E949" s="39"/>
      <c r="F949" s="144"/>
      <c r="K949" s="37"/>
      <c r="L949" s="60"/>
      <c r="M949" s="57"/>
      <c r="N949" s="143"/>
      <c r="O949" s="57"/>
      <c r="P949" s="57"/>
      <c r="Q949" s="57"/>
      <c r="R949" s="59"/>
      <c r="S949" s="37"/>
    </row>
    <row r="950" spans="1:19" ht="15.75" thickBot="1" x14ac:dyDescent="0.3">
      <c r="A950" s="69" t="s">
        <v>12</v>
      </c>
      <c r="B950" s="64" t="s">
        <v>25</v>
      </c>
      <c r="C950" s="65"/>
      <c r="D950" s="66"/>
      <c r="E950" s="67"/>
      <c r="F950" s="351">
        <f>+F948+F941+F934</f>
        <v>36676</v>
      </c>
      <c r="K950" s="37"/>
      <c r="L950" s="60"/>
      <c r="M950" s="57"/>
      <c r="N950" s="56"/>
      <c r="O950" s="57"/>
      <c r="P950" s="57"/>
      <c r="Q950" s="57"/>
      <c r="R950" s="135"/>
      <c r="S950" s="37"/>
    </row>
    <row r="951" spans="1:19" ht="15.75" thickBot="1" x14ac:dyDescent="0.3">
      <c r="K951" s="37"/>
      <c r="L951" s="60"/>
      <c r="M951" s="39"/>
      <c r="N951" s="53"/>
      <c r="O951" s="39"/>
      <c r="P951" s="39"/>
      <c r="Q951" s="39"/>
      <c r="R951" s="39"/>
      <c r="S951" s="37"/>
    </row>
    <row r="952" spans="1:19" ht="42.75" customHeight="1" x14ac:dyDescent="0.25">
      <c r="A952" s="1" t="s">
        <v>47</v>
      </c>
      <c r="B952" s="355" t="s">
        <v>202</v>
      </c>
      <c r="C952" s="355"/>
      <c r="D952" s="355"/>
      <c r="E952" s="3"/>
      <c r="F952" s="146" t="s">
        <v>15</v>
      </c>
      <c r="K952" s="37"/>
      <c r="L952" s="60"/>
      <c r="M952" s="55"/>
      <c r="N952" s="56"/>
      <c r="O952" s="57"/>
      <c r="P952" s="75"/>
      <c r="Q952" s="59"/>
      <c r="R952" s="59"/>
      <c r="S952" s="37"/>
    </row>
    <row r="953" spans="1:19" ht="15.75" thickBot="1" x14ac:dyDescent="0.3">
      <c r="A953" s="70" t="s">
        <v>9</v>
      </c>
      <c r="B953" s="71">
        <v>3.5</v>
      </c>
      <c r="C953" s="10"/>
      <c r="D953" s="11"/>
      <c r="E953" s="10"/>
      <c r="F953" s="72" t="s">
        <v>40</v>
      </c>
      <c r="K953" s="37"/>
      <c r="L953" s="60"/>
      <c r="M953" s="37"/>
      <c r="N953" s="36"/>
      <c r="O953" s="37"/>
      <c r="P953" s="37"/>
      <c r="Q953" s="39"/>
      <c r="R953" s="59"/>
      <c r="S953" s="37"/>
    </row>
    <row r="954" spans="1:19" ht="15.75" thickBot="1" x14ac:dyDescent="0.3">
      <c r="A954" s="6"/>
      <c r="B954" s="36"/>
      <c r="C954" s="37"/>
      <c r="D954" s="38"/>
      <c r="E954" s="37"/>
      <c r="F954" s="7"/>
      <c r="K954" s="37"/>
      <c r="L954" s="60"/>
      <c r="M954" s="37"/>
      <c r="N954" s="36"/>
      <c r="O954" s="37"/>
      <c r="P954" s="37"/>
      <c r="Q954" s="39"/>
      <c r="R954" s="59"/>
      <c r="S954" s="37"/>
    </row>
    <row r="955" spans="1:19" ht="15.75" thickBot="1" x14ac:dyDescent="0.3">
      <c r="A955" s="33" t="s">
        <v>179</v>
      </c>
      <c r="B955" s="40" t="s">
        <v>47</v>
      </c>
      <c r="C955" s="34" t="s">
        <v>15</v>
      </c>
      <c r="D955" s="35" t="s">
        <v>16</v>
      </c>
      <c r="E955" s="34" t="s">
        <v>17</v>
      </c>
      <c r="F955" s="41" t="s">
        <v>18</v>
      </c>
      <c r="K955" s="37"/>
      <c r="L955" s="60"/>
      <c r="M955" s="37"/>
      <c r="N955" s="36"/>
      <c r="O955" s="37"/>
      <c r="P955" s="37"/>
      <c r="Q955" s="39"/>
      <c r="R955" s="59"/>
      <c r="S955" s="37"/>
    </row>
    <row r="956" spans="1:19" ht="15.75" thickBot="1" x14ac:dyDescent="0.3">
      <c r="A956" s="6"/>
      <c r="B956" s="36"/>
      <c r="C956" s="37"/>
      <c r="D956" s="38"/>
      <c r="E956" s="37"/>
      <c r="F956" s="7"/>
      <c r="K956" s="37"/>
      <c r="L956" s="60"/>
      <c r="M956" s="37"/>
      <c r="N956" s="36"/>
      <c r="O956" s="37"/>
      <c r="P956" s="37"/>
      <c r="Q956" s="39"/>
      <c r="R956" s="59"/>
      <c r="S956" s="37"/>
    </row>
    <row r="957" spans="1:19" ht="15.75" thickBot="1" x14ac:dyDescent="0.3">
      <c r="A957" s="1" t="s">
        <v>19</v>
      </c>
      <c r="B957" s="13"/>
      <c r="C957" s="14"/>
      <c r="D957" s="15"/>
      <c r="E957" s="14"/>
      <c r="F957" s="16"/>
      <c r="K957" s="37"/>
      <c r="L957" s="60"/>
      <c r="M957" s="37"/>
      <c r="N957" s="36"/>
      <c r="O957" s="37"/>
      <c r="P957" s="37"/>
      <c r="Q957" s="39"/>
      <c r="R957" s="59"/>
      <c r="S957" s="37"/>
    </row>
    <row r="958" spans="1:19" ht="74.25" customHeight="1" x14ac:dyDescent="0.25">
      <c r="A958" s="95"/>
      <c r="B958" s="96" t="s">
        <v>203</v>
      </c>
      <c r="C958" s="97" t="s">
        <v>29</v>
      </c>
      <c r="D958" s="20">
        <v>1</v>
      </c>
      <c r="E958" s="197">
        <v>62000</v>
      </c>
      <c r="F958" s="184">
        <f>ROUND(D958*E958,)</f>
        <v>62000</v>
      </c>
      <c r="K958" s="37"/>
      <c r="L958" s="60"/>
      <c r="M958" s="37"/>
      <c r="N958" s="36"/>
      <c r="O958" s="37"/>
      <c r="P958" s="37"/>
      <c r="Q958" s="39"/>
      <c r="R958" s="59"/>
      <c r="S958" s="37"/>
    </row>
    <row r="959" spans="1:19" ht="15.75" thickBot="1" x14ac:dyDescent="0.3">
      <c r="A959" s="23"/>
      <c r="B959" s="24"/>
      <c r="C959" s="25"/>
      <c r="D959" s="26"/>
      <c r="E959" s="181"/>
      <c r="F959" s="189">
        <f>ROUND(D959*E959,)</f>
        <v>0</v>
      </c>
      <c r="K959" s="37"/>
      <c r="L959" s="60"/>
      <c r="M959" s="37"/>
      <c r="N959" s="36"/>
      <c r="O959" s="37"/>
      <c r="P959" s="37"/>
      <c r="Q959" s="39"/>
      <c r="R959" s="59"/>
      <c r="S959" s="37"/>
    </row>
    <row r="960" spans="1:19" ht="15.75" thickBot="1" x14ac:dyDescent="0.3">
      <c r="A960" s="6"/>
      <c r="B960" s="36"/>
      <c r="C960" s="37"/>
      <c r="D960" s="38"/>
      <c r="E960" s="39" t="s">
        <v>20</v>
      </c>
      <c r="F960" s="187">
        <f>+F958+F959</f>
        <v>62000</v>
      </c>
      <c r="K960" s="37"/>
      <c r="L960" s="60"/>
      <c r="M960" s="37"/>
      <c r="N960" s="36"/>
      <c r="O960" s="37"/>
      <c r="P960" s="37"/>
      <c r="Q960" s="39"/>
      <c r="R960" s="59"/>
      <c r="S960" s="37"/>
    </row>
    <row r="961" spans="1:19" ht="15.75" thickBot="1" x14ac:dyDescent="0.3">
      <c r="A961" s="6"/>
      <c r="B961" s="36"/>
      <c r="C961" s="37"/>
      <c r="D961" s="38"/>
      <c r="E961" s="37"/>
      <c r="F961" s="7"/>
      <c r="K961" s="37"/>
      <c r="L961" s="60"/>
      <c r="M961" s="37"/>
      <c r="N961" s="36"/>
      <c r="O961" s="37"/>
      <c r="P961" s="37"/>
      <c r="Q961" s="39"/>
      <c r="R961" s="59"/>
      <c r="S961" s="37"/>
    </row>
    <row r="962" spans="1:19" ht="15.75" thickBot="1" x14ac:dyDescent="0.3">
      <c r="A962" s="44" t="s">
        <v>21</v>
      </c>
      <c r="B962" s="45"/>
      <c r="C962" s="46"/>
      <c r="D962" s="47"/>
      <c r="E962" s="46"/>
      <c r="F962" s="48"/>
      <c r="K962" s="37"/>
      <c r="L962" s="60"/>
      <c r="M962" s="37"/>
      <c r="N962" s="36"/>
      <c r="O962" s="37"/>
      <c r="P962" s="37"/>
      <c r="Q962" s="39"/>
      <c r="R962" s="59"/>
      <c r="S962" s="37"/>
    </row>
    <row r="963" spans="1:19" x14ac:dyDescent="0.25">
      <c r="A963" s="122"/>
      <c r="B963" s="87"/>
      <c r="C963" s="88"/>
      <c r="D963" s="123"/>
      <c r="E963" s="182"/>
      <c r="F963" s="210">
        <f t="shared" ref="F963:F964" si="63">ROUND(D963*E963,)</f>
        <v>0</v>
      </c>
      <c r="K963" s="37"/>
      <c r="L963" s="60"/>
      <c r="M963" s="37"/>
      <c r="N963" s="36"/>
      <c r="O963" s="37"/>
      <c r="P963" s="37"/>
      <c r="Q963" s="39"/>
      <c r="R963" s="59"/>
      <c r="S963" s="37"/>
    </row>
    <row r="964" spans="1:19" ht="15.75" thickBot="1" x14ac:dyDescent="0.3">
      <c r="A964" s="23"/>
      <c r="B964" s="24" t="s">
        <v>34</v>
      </c>
      <c r="C964" s="25" t="s">
        <v>35</v>
      </c>
      <c r="D964" s="26">
        <v>4.5</v>
      </c>
      <c r="E964" s="192">
        <v>1700</v>
      </c>
      <c r="F964" s="186">
        <f t="shared" si="63"/>
        <v>7650</v>
      </c>
      <c r="K964" s="37"/>
      <c r="L964" s="60"/>
      <c r="M964" s="37"/>
      <c r="N964" s="36"/>
      <c r="O964" s="37"/>
      <c r="P964" s="37"/>
      <c r="Q964" s="39"/>
      <c r="R964" s="59"/>
      <c r="S964" s="37"/>
    </row>
    <row r="965" spans="1:19" ht="15.75" thickBot="1" x14ac:dyDescent="0.3">
      <c r="A965" s="6"/>
      <c r="B965" s="36"/>
      <c r="C965" s="37"/>
      <c r="D965" s="38"/>
      <c r="E965" s="39" t="s">
        <v>22</v>
      </c>
      <c r="F965" s="187">
        <f>SUM(F963:F964)</f>
        <v>7650</v>
      </c>
      <c r="K965" s="37"/>
      <c r="L965" s="60"/>
      <c r="M965" s="37"/>
      <c r="N965" s="36"/>
      <c r="O965" s="37"/>
      <c r="P965" s="37"/>
      <c r="Q965" s="39"/>
      <c r="R965" s="59"/>
      <c r="S965" s="37"/>
    </row>
    <row r="966" spans="1:19" ht="15.75" thickBot="1" x14ac:dyDescent="0.3">
      <c r="A966" s="6"/>
      <c r="B966" s="36"/>
      <c r="C966" s="37"/>
      <c r="D966" s="38"/>
      <c r="E966" s="37"/>
      <c r="F966" s="7"/>
      <c r="K966" s="37"/>
      <c r="L966" s="60"/>
      <c r="M966" s="37"/>
      <c r="N966" s="36"/>
      <c r="O966" s="37"/>
      <c r="P966" s="37"/>
      <c r="Q966" s="39"/>
      <c r="R966" s="59"/>
      <c r="S966" s="37"/>
    </row>
    <row r="967" spans="1:19" ht="15.75" thickBot="1" x14ac:dyDescent="0.3">
      <c r="A967" s="44" t="s">
        <v>23</v>
      </c>
      <c r="B967" s="45"/>
      <c r="C967" s="46"/>
      <c r="D967" s="47"/>
      <c r="E967" s="46"/>
      <c r="F967" s="48"/>
      <c r="K967" s="37"/>
      <c r="L967" s="60"/>
      <c r="M967" s="37"/>
      <c r="N967" s="36"/>
      <c r="O967" s="37"/>
      <c r="P967" s="37"/>
      <c r="Q967" s="39"/>
      <c r="R967" s="59"/>
      <c r="S967" s="37"/>
    </row>
    <row r="968" spans="1:19" x14ac:dyDescent="0.25">
      <c r="A968" s="17"/>
      <c r="B968" s="96"/>
      <c r="C968" s="97"/>
      <c r="D968" s="101"/>
      <c r="E968" s="218"/>
      <c r="F968" s="216">
        <f>ROUND(D968*E968,)</f>
        <v>0</v>
      </c>
      <c r="K968" s="37"/>
      <c r="L968" s="60"/>
      <c r="M968" s="37"/>
      <c r="N968" s="36"/>
      <c r="O968" s="37"/>
      <c r="P968" s="37"/>
      <c r="Q968" s="39"/>
      <c r="R968" s="59"/>
      <c r="S968" s="37"/>
    </row>
    <row r="969" spans="1:19" x14ac:dyDescent="0.25">
      <c r="A969" s="92"/>
      <c r="B969" s="231" t="s">
        <v>204</v>
      </c>
      <c r="C969" s="142" t="s">
        <v>40</v>
      </c>
      <c r="D969" s="83">
        <v>1</v>
      </c>
      <c r="E969" s="182">
        <v>67900</v>
      </c>
      <c r="F969" s="188">
        <f>ROUND(D969*E969,)</f>
        <v>67900</v>
      </c>
      <c r="K969" s="37"/>
      <c r="L969" s="60"/>
      <c r="M969" s="37"/>
      <c r="N969" s="36"/>
      <c r="O969" s="37"/>
      <c r="P969" s="37"/>
      <c r="Q969" s="39"/>
      <c r="R969" s="59"/>
      <c r="S969" s="37"/>
    </row>
    <row r="970" spans="1:19" ht="19.5" customHeight="1" thickBot="1" x14ac:dyDescent="0.3">
      <c r="A970" s="30"/>
      <c r="B970" s="24" t="s">
        <v>192</v>
      </c>
      <c r="C970" s="25" t="s">
        <v>40</v>
      </c>
      <c r="D970" s="80">
        <v>1</v>
      </c>
      <c r="E970" s="192">
        <v>2250</v>
      </c>
      <c r="F970" s="217">
        <f>ROUND(D970*E970,)</f>
        <v>2250</v>
      </c>
      <c r="K970" s="37"/>
      <c r="L970" s="60"/>
      <c r="M970" s="37"/>
      <c r="N970" s="36"/>
      <c r="O970" s="37"/>
      <c r="P970" s="37"/>
      <c r="Q970" s="39"/>
      <c r="R970" s="59"/>
      <c r="S970" s="37"/>
    </row>
    <row r="971" spans="1:19" ht="15.75" thickBot="1" x14ac:dyDescent="0.3">
      <c r="A971" s="6"/>
      <c r="B971" s="50"/>
      <c r="C971" s="61"/>
      <c r="D971" s="37"/>
      <c r="E971" s="39" t="s">
        <v>24</v>
      </c>
      <c r="F971" s="190">
        <f>SUM(F968:F970)</f>
        <v>70150</v>
      </c>
      <c r="K971" s="37"/>
      <c r="L971" s="60"/>
      <c r="M971" s="37"/>
      <c r="N971" s="36"/>
      <c r="O971" s="37"/>
      <c r="P971" s="37"/>
      <c r="Q971" s="39"/>
      <c r="R971" s="59"/>
      <c r="S971" s="37"/>
    </row>
    <row r="972" spans="1:19" ht="15.75" thickBot="1" x14ac:dyDescent="0.3">
      <c r="A972" s="155"/>
      <c r="B972" s="9"/>
      <c r="C972" s="156"/>
      <c r="D972" s="10"/>
      <c r="E972" s="39"/>
      <c r="F972" s="144"/>
      <c r="K972" s="37"/>
      <c r="L972" s="60"/>
      <c r="M972" s="37"/>
      <c r="N972" s="143"/>
      <c r="O972" s="37"/>
      <c r="P972" s="37"/>
      <c r="Q972" s="39"/>
      <c r="R972" s="59"/>
      <c r="S972" s="37"/>
    </row>
    <row r="973" spans="1:19" ht="15.75" thickBot="1" x14ac:dyDescent="0.3">
      <c r="A973" s="69" t="s">
        <v>12</v>
      </c>
      <c r="B973" s="64" t="s">
        <v>25</v>
      </c>
      <c r="C973" s="65"/>
      <c r="D973" s="66"/>
      <c r="E973" s="67"/>
      <c r="F973" s="351">
        <f>+F971+F965+F960</f>
        <v>139800</v>
      </c>
      <c r="K973" s="37"/>
      <c r="L973" s="60"/>
      <c r="M973" s="37"/>
      <c r="N973" s="36"/>
      <c r="O973" s="37"/>
      <c r="P973" s="37"/>
      <c r="Q973" s="39"/>
      <c r="R973" s="59"/>
      <c r="S973" s="37"/>
    </row>
    <row r="974" spans="1:19" ht="15.75" thickBot="1" x14ac:dyDescent="0.3">
      <c r="K974" s="37"/>
      <c r="L974" s="60"/>
      <c r="M974" s="37"/>
      <c r="N974" s="36"/>
      <c r="O974" s="37"/>
      <c r="P974" s="37"/>
      <c r="Q974" s="39"/>
      <c r="R974" s="59"/>
      <c r="S974" s="37"/>
    </row>
    <row r="975" spans="1:19" ht="45" customHeight="1" x14ac:dyDescent="0.25">
      <c r="A975" s="1" t="s">
        <v>47</v>
      </c>
      <c r="B975" s="355" t="s">
        <v>205</v>
      </c>
      <c r="C975" s="355"/>
      <c r="D975" s="355"/>
      <c r="E975" s="3"/>
      <c r="F975" s="146" t="s">
        <v>15</v>
      </c>
      <c r="K975" s="37"/>
      <c r="L975" s="60"/>
      <c r="M975" s="37"/>
      <c r="N975" s="36"/>
      <c r="O975" s="37"/>
      <c r="P975" s="37"/>
      <c r="Q975" s="39"/>
      <c r="R975" s="59"/>
      <c r="S975" s="37"/>
    </row>
    <row r="976" spans="1:19" ht="15.75" thickBot="1" x14ac:dyDescent="0.3">
      <c r="A976" s="70" t="s">
        <v>9</v>
      </c>
      <c r="B976" s="71">
        <v>3.6</v>
      </c>
      <c r="C976" s="10"/>
      <c r="D976" s="11"/>
      <c r="E976" s="10"/>
      <c r="F976" s="72" t="s">
        <v>40</v>
      </c>
      <c r="K976" s="37"/>
      <c r="L976" s="60"/>
      <c r="M976" s="37"/>
      <c r="N976" s="36"/>
      <c r="O976" s="37"/>
      <c r="P976" s="37"/>
      <c r="Q976" s="39"/>
      <c r="R976" s="59"/>
      <c r="S976" s="37"/>
    </row>
    <row r="977" spans="1:19" ht="15.75" thickBot="1" x14ac:dyDescent="0.3">
      <c r="A977" s="6"/>
      <c r="B977" s="36"/>
      <c r="C977" s="37"/>
      <c r="D977" s="38"/>
      <c r="E977" s="37"/>
      <c r="F977" s="7"/>
      <c r="K977" s="37"/>
      <c r="L977" s="60"/>
      <c r="M977" s="37"/>
      <c r="N977" s="36"/>
      <c r="O977" s="37"/>
      <c r="P977" s="37"/>
      <c r="Q977" s="39"/>
      <c r="R977" s="59"/>
      <c r="S977" s="37"/>
    </row>
    <row r="978" spans="1:19" ht="15.75" thickBot="1" x14ac:dyDescent="0.3">
      <c r="A978" s="33" t="s">
        <v>179</v>
      </c>
      <c r="B978" s="40" t="s">
        <v>47</v>
      </c>
      <c r="C978" s="34" t="s">
        <v>15</v>
      </c>
      <c r="D978" s="35" t="s">
        <v>16</v>
      </c>
      <c r="E978" s="34" t="s">
        <v>17</v>
      </c>
      <c r="F978" s="41" t="s">
        <v>18</v>
      </c>
      <c r="K978" s="37"/>
      <c r="L978" s="60"/>
      <c r="M978" s="37"/>
      <c r="N978" s="36"/>
      <c r="O978" s="37"/>
      <c r="P978" s="37"/>
      <c r="Q978" s="39"/>
      <c r="R978" s="59"/>
      <c r="S978" s="37"/>
    </row>
    <row r="979" spans="1:19" ht="15.75" thickBot="1" x14ac:dyDescent="0.3">
      <c r="A979" s="6"/>
      <c r="B979" s="36"/>
      <c r="C979" s="37"/>
      <c r="D979" s="38"/>
      <c r="E979" s="37"/>
      <c r="F979" s="7"/>
      <c r="K979" s="37"/>
      <c r="L979" s="60"/>
      <c r="M979" s="37"/>
      <c r="N979" s="36"/>
      <c r="O979" s="37"/>
      <c r="P979" s="37"/>
      <c r="Q979" s="39"/>
      <c r="R979" s="59"/>
      <c r="S979" s="37"/>
    </row>
    <row r="980" spans="1:19" ht="15.75" thickBot="1" x14ac:dyDescent="0.3">
      <c r="A980" s="1" t="s">
        <v>19</v>
      </c>
      <c r="B980" s="13"/>
      <c r="C980" s="14"/>
      <c r="D980" s="15"/>
      <c r="E980" s="14"/>
      <c r="F980" s="16"/>
      <c r="K980" s="37"/>
      <c r="L980" s="60"/>
      <c r="M980" s="37"/>
      <c r="N980" s="36"/>
      <c r="O980" s="37"/>
      <c r="P980" s="37"/>
      <c r="Q980" s="39"/>
      <c r="R980" s="59"/>
      <c r="S980" s="37"/>
    </row>
    <row r="981" spans="1:19" ht="76.5" customHeight="1" x14ac:dyDescent="0.25">
      <c r="A981" s="95"/>
      <c r="B981" s="96" t="s">
        <v>206</v>
      </c>
      <c r="C981" s="97" t="s">
        <v>29</v>
      </c>
      <c r="D981" s="20">
        <v>1</v>
      </c>
      <c r="E981" s="197">
        <v>62000</v>
      </c>
      <c r="F981" s="184">
        <f>ROUND(D981*E981,)</f>
        <v>62000</v>
      </c>
      <c r="K981" s="37"/>
      <c r="L981" s="60"/>
      <c r="M981" s="37"/>
      <c r="N981" s="36"/>
      <c r="O981" s="37"/>
      <c r="P981" s="37"/>
      <c r="Q981" s="39"/>
      <c r="R981" s="59"/>
      <c r="S981" s="37"/>
    </row>
    <row r="982" spans="1:19" ht="15.75" thickBot="1" x14ac:dyDescent="0.3">
      <c r="A982" s="23"/>
      <c r="B982" s="24"/>
      <c r="C982" s="25"/>
      <c r="D982" s="26"/>
      <c r="E982" s="181"/>
      <c r="F982" s="189">
        <f>ROUND(D982*E982,)</f>
        <v>0</v>
      </c>
      <c r="K982" s="37"/>
      <c r="L982" s="60"/>
      <c r="M982" s="37"/>
      <c r="N982" s="36"/>
      <c r="O982" s="37"/>
      <c r="P982" s="37"/>
      <c r="Q982" s="39"/>
      <c r="R982" s="59"/>
      <c r="S982" s="37"/>
    </row>
    <row r="983" spans="1:19" ht="15.75" thickBot="1" x14ac:dyDescent="0.3">
      <c r="A983" s="6"/>
      <c r="B983" s="36"/>
      <c r="C983" s="37"/>
      <c r="D983" s="38"/>
      <c r="E983" s="39" t="s">
        <v>20</v>
      </c>
      <c r="F983" s="187">
        <f>+F981+F982</f>
        <v>62000</v>
      </c>
      <c r="K983" s="37"/>
      <c r="L983" s="60"/>
      <c r="M983" s="37"/>
      <c r="N983" s="36"/>
      <c r="O983" s="37"/>
      <c r="P983" s="37"/>
      <c r="Q983" s="39"/>
      <c r="R983" s="59"/>
      <c r="S983" s="37"/>
    </row>
    <row r="984" spans="1:19" ht="15.75" thickBot="1" x14ac:dyDescent="0.3">
      <c r="A984" s="6"/>
      <c r="B984" s="36"/>
      <c r="C984" s="37"/>
      <c r="D984" s="38"/>
      <c r="E984" s="37"/>
      <c r="F984" s="7"/>
      <c r="K984" s="37"/>
      <c r="L984" s="60"/>
      <c r="M984" s="37"/>
      <c r="N984" s="36"/>
      <c r="O984" s="37"/>
      <c r="P984" s="37"/>
      <c r="Q984" s="39"/>
      <c r="R984" s="59"/>
      <c r="S984" s="37"/>
    </row>
    <row r="985" spans="1:19" ht="15.75" thickBot="1" x14ac:dyDescent="0.3">
      <c r="A985" s="44" t="s">
        <v>21</v>
      </c>
      <c r="B985" s="45"/>
      <c r="C985" s="46"/>
      <c r="D985" s="47"/>
      <c r="E985" s="46"/>
      <c r="F985" s="48"/>
      <c r="K985" s="37"/>
      <c r="L985" s="60"/>
      <c r="M985" s="37"/>
      <c r="N985" s="36"/>
      <c r="O985" s="37"/>
      <c r="P985" s="37"/>
      <c r="Q985" s="39"/>
      <c r="R985" s="59"/>
      <c r="S985" s="37"/>
    </row>
    <row r="986" spans="1:19" x14ac:dyDescent="0.25">
      <c r="A986" s="122"/>
      <c r="B986" s="87"/>
      <c r="C986" s="88"/>
      <c r="D986" s="123"/>
      <c r="E986" s="182"/>
      <c r="F986" s="124">
        <f t="shared" ref="F986:F988" si="64">ROUND(D986*E986,)</f>
        <v>0</v>
      </c>
      <c r="K986" s="37"/>
      <c r="L986" s="60"/>
      <c r="M986" s="37"/>
      <c r="N986" s="36"/>
      <c r="O986" s="37"/>
      <c r="P986" s="37"/>
      <c r="Q986" s="39"/>
      <c r="R986" s="59"/>
      <c r="S986" s="37"/>
    </row>
    <row r="987" spans="1:19" x14ac:dyDescent="0.25">
      <c r="A987" s="108"/>
      <c r="B987" s="43"/>
      <c r="C987" s="82"/>
      <c r="D987" s="115"/>
      <c r="E987" s="180"/>
      <c r="F987" s="121">
        <f t="shared" si="64"/>
        <v>0</v>
      </c>
      <c r="K987" s="37"/>
      <c r="L987" s="60"/>
      <c r="M987" s="37"/>
      <c r="N987" s="36"/>
      <c r="O987" s="37"/>
      <c r="P987" s="37"/>
      <c r="Q987" s="39"/>
      <c r="R987" s="59"/>
      <c r="S987" s="37"/>
    </row>
    <row r="988" spans="1:19" ht="15.75" thickBot="1" x14ac:dyDescent="0.3">
      <c r="A988" s="23"/>
      <c r="B988" s="24" t="s">
        <v>34</v>
      </c>
      <c r="C988" s="25" t="s">
        <v>35</v>
      </c>
      <c r="D988" s="26">
        <v>4.5</v>
      </c>
      <c r="E988" s="192">
        <v>1700</v>
      </c>
      <c r="F988" s="28">
        <f t="shared" si="64"/>
        <v>7650</v>
      </c>
      <c r="K988" s="37"/>
      <c r="L988" s="60"/>
      <c r="M988" s="37"/>
      <c r="N988" s="36"/>
      <c r="O988" s="37"/>
      <c r="P988" s="37"/>
      <c r="Q988" s="39"/>
      <c r="R988" s="59"/>
      <c r="S988" s="37"/>
    </row>
    <row r="989" spans="1:19" ht="15.75" thickBot="1" x14ac:dyDescent="0.3">
      <c r="A989" s="6"/>
      <c r="B989" s="36"/>
      <c r="C989" s="37"/>
      <c r="D989" s="38"/>
      <c r="E989" s="39" t="s">
        <v>22</v>
      </c>
      <c r="F989" s="29">
        <f>SUM(F986:F988)</f>
        <v>7650</v>
      </c>
      <c r="K989" s="37"/>
      <c r="L989" s="60"/>
      <c r="M989" s="37"/>
      <c r="N989" s="36"/>
      <c r="O989" s="37"/>
      <c r="P989" s="37"/>
      <c r="Q989" s="39"/>
      <c r="R989" s="59"/>
      <c r="S989" s="37"/>
    </row>
    <row r="990" spans="1:19" ht="15.75" thickBot="1" x14ac:dyDescent="0.3">
      <c r="A990" s="6"/>
      <c r="B990" s="36"/>
      <c r="C990" s="37"/>
      <c r="D990" s="38"/>
      <c r="E990" s="37"/>
      <c r="F990" s="7"/>
      <c r="K990" s="37"/>
      <c r="L990" s="60"/>
      <c r="M990" s="37"/>
      <c r="N990" s="36"/>
      <c r="O990" s="37"/>
      <c r="P990" s="37"/>
      <c r="Q990" s="39"/>
      <c r="R990" s="59"/>
      <c r="S990" s="37"/>
    </row>
    <row r="991" spans="1:19" ht="15.75" thickBot="1" x14ac:dyDescent="0.3">
      <c r="A991" s="44" t="s">
        <v>23</v>
      </c>
      <c r="B991" s="45"/>
      <c r="C991" s="46"/>
      <c r="D991" s="47"/>
      <c r="E991" s="46"/>
      <c r="F991" s="48"/>
      <c r="K991" s="37"/>
      <c r="L991" s="60"/>
      <c r="M991" s="37"/>
      <c r="N991" s="36"/>
      <c r="O991" s="37"/>
      <c r="P991" s="37"/>
      <c r="Q991" s="39"/>
      <c r="R991" s="59"/>
      <c r="S991" s="37"/>
    </row>
    <row r="992" spans="1:19" x14ac:dyDescent="0.25">
      <c r="A992" s="17"/>
      <c r="B992" s="232"/>
      <c r="C992" s="97"/>
      <c r="D992" s="101"/>
      <c r="E992" s="218"/>
      <c r="F992" s="216">
        <f>ROUND(D992*E992,)</f>
        <v>0</v>
      </c>
      <c r="K992" s="37"/>
      <c r="L992" s="60"/>
      <c r="M992" s="37"/>
      <c r="N992" s="36"/>
      <c r="O992" s="37"/>
      <c r="P992" s="37"/>
      <c r="Q992" s="39"/>
      <c r="R992" s="59"/>
      <c r="S992" s="37"/>
    </row>
    <row r="993" spans="1:19" ht="88.5" customHeight="1" x14ac:dyDescent="0.25">
      <c r="A993" s="92"/>
      <c r="B993" s="85" t="s">
        <v>230</v>
      </c>
      <c r="C993" s="142" t="s">
        <v>40</v>
      </c>
      <c r="D993" s="83">
        <v>1</v>
      </c>
      <c r="E993" s="182">
        <v>283900</v>
      </c>
      <c r="F993" s="188">
        <f>ROUND(D993*E993,)</f>
        <v>283900</v>
      </c>
      <c r="K993" s="37"/>
      <c r="L993" s="60"/>
      <c r="M993" s="37"/>
      <c r="N993" s="50"/>
      <c r="O993" s="37"/>
      <c r="P993" s="37"/>
      <c r="Q993" s="39"/>
      <c r="R993" s="59"/>
      <c r="S993" s="37"/>
    </row>
    <row r="994" spans="1:19" ht="20.25" customHeight="1" thickBot="1" x14ac:dyDescent="0.3">
      <c r="A994" s="30"/>
      <c r="B994" s="24" t="s">
        <v>192</v>
      </c>
      <c r="C994" s="25" t="s">
        <v>40</v>
      </c>
      <c r="D994" s="80">
        <v>1</v>
      </c>
      <c r="E994" s="192">
        <v>2250</v>
      </c>
      <c r="F994" s="217">
        <f>ROUND(D994*E994,)</f>
        <v>2250</v>
      </c>
      <c r="K994" s="37"/>
      <c r="L994" s="60"/>
      <c r="M994" s="37"/>
      <c r="N994" s="36"/>
      <c r="O994" s="37"/>
      <c r="P994" s="37"/>
      <c r="Q994" s="39"/>
      <c r="R994" s="59"/>
      <c r="S994" s="37"/>
    </row>
    <row r="995" spans="1:19" ht="15.75" thickBot="1" x14ac:dyDescent="0.3">
      <c r="A995" s="6"/>
      <c r="B995" s="50"/>
      <c r="C995" s="61"/>
      <c r="D995" s="37"/>
      <c r="E995" s="39" t="s">
        <v>24</v>
      </c>
      <c r="F995" s="190">
        <f>SUM(F992:F994)</f>
        <v>286150</v>
      </c>
      <c r="K995" s="37"/>
      <c r="L995" s="60"/>
      <c r="M995" s="37"/>
      <c r="N995" s="36"/>
      <c r="O995" s="37"/>
      <c r="P995" s="37"/>
      <c r="Q995" s="39"/>
      <c r="R995" s="59"/>
      <c r="S995" s="37"/>
    </row>
    <row r="996" spans="1:19" ht="15.75" thickBot="1" x14ac:dyDescent="0.3">
      <c r="A996" s="155"/>
      <c r="B996" s="9"/>
      <c r="C996" s="156"/>
      <c r="D996" s="10"/>
      <c r="E996" s="39"/>
      <c r="F996" s="144"/>
      <c r="K996" s="37"/>
      <c r="L996" s="60"/>
      <c r="M996" s="37"/>
      <c r="N996" s="143"/>
      <c r="O996" s="37"/>
      <c r="P996" s="37"/>
      <c r="Q996" s="39"/>
      <c r="R996" s="59"/>
      <c r="S996" s="37"/>
    </row>
    <row r="997" spans="1:19" ht="15.75" thickBot="1" x14ac:dyDescent="0.3">
      <c r="A997" s="69" t="s">
        <v>12</v>
      </c>
      <c r="B997" s="64" t="s">
        <v>25</v>
      </c>
      <c r="C997" s="65"/>
      <c r="D997" s="66"/>
      <c r="E997" s="67"/>
      <c r="F997" s="351">
        <f>+F995+F989+F983</f>
        <v>355800</v>
      </c>
      <c r="K997" s="37"/>
      <c r="L997" s="60"/>
      <c r="M997" s="37"/>
      <c r="N997" s="36"/>
      <c r="O997" s="37"/>
      <c r="P997" s="37"/>
      <c r="Q997" s="39"/>
      <c r="R997" s="59"/>
      <c r="S997" s="37"/>
    </row>
    <row r="998" spans="1:19" ht="15.75" thickBot="1" x14ac:dyDescent="0.3">
      <c r="K998" s="37"/>
      <c r="L998" s="60"/>
      <c r="M998" s="37"/>
      <c r="N998" s="36"/>
      <c r="O998" s="37"/>
      <c r="P998" s="37"/>
      <c r="Q998" s="39"/>
      <c r="R998" s="59"/>
      <c r="S998" s="37"/>
    </row>
    <row r="999" spans="1:19" ht="44.25" customHeight="1" x14ac:dyDescent="0.25">
      <c r="A999" s="1" t="s">
        <v>47</v>
      </c>
      <c r="B999" s="355" t="s">
        <v>207</v>
      </c>
      <c r="C999" s="355"/>
      <c r="D999" s="355"/>
      <c r="E999" s="3"/>
      <c r="F999" s="146" t="s">
        <v>15</v>
      </c>
      <c r="K999" s="37"/>
      <c r="L999" s="60"/>
      <c r="M999" s="37"/>
      <c r="N999" s="36"/>
      <c r="O999" s="37"/>
      <c r="P999" s="37"/>
      <c r="Q999" s="39"/>
      <c r="R999" s="59"/>
      <c r="S999" s="37"/>
    </row>
    <row r="1000" spans="1:19" ht="15.75" thickBot="1" x14ac:dyDescent="0.3">
      <c r="A1000" s="70" t="s">
        <v>9</v>
      </c>
      <c r="B1000" s="71">
        <v>3.7</v>
      </c>
      <c r="C1000" s="10"/>
      <c r="D1000" s="11"/>
      <c r="E1000" s="10"/>
      <c r="F1000" s="72" t="s">
        <v>40</v>
      </c>
      <c r="K1000" s="37"/>
      <c r="L1000" s="60"/>
      <c r="M1000" s="37"/>
      <c r="N1000" s="36"/>
      <c r="O1000" s="37"/>
      <c r="P1000" s="37"/>
      <c r="Q1000" s="39"/>
      <c r="R1000" s="59"/>
      <c r="S1000" s="37"/>
    </row>
    <row r="1001" spans="1:19" ht="15.75" thickBot="1" x14ac:dyDescent="0.3">
      <c r="A1001" s="6"/>
      <c r="B1001" s="36"/>
      <c r="C1001" s="37"/>
      <c r="D1001" s="38"/>
      <c r="E1001" s="37"/>
      <c r="F1001" s="7"/>
      <c r="K1001" s="37"/>
      <c r="L1001" s="60"/>
      <c r="M1001" s="37"/>
      <c r="N1001" s="36"/>
      <c r="O1001" s="37"/>
      <c r="P1001" s="37"/>
      <c r="Q1001" s="39"/>
      <c r="R1001" s="59"/>
      <c r="S1001" s="37"/>
    </row>
    <row r="1002" spans="1:19" ht="15.75" thickBot="1" x14ac:dyDescent="0.3">
      <c r="A1002" s="33" t="s">
        <v>179</v>
      </c>
      <c r="B1002" s="40" t="s">
        <v>47</v>
      </c>
      <c r="C1002" s="34" t="s">
        <v>15</v>
      </c>
      <c r="D1002" s="35" t="s">
        <v>16</v>
      </c>
      <c r="E1002" s="34" t="s">
        <v>17</v>
      </c>
      <c r="F1002" s="41" t="s">
        <v>18</v>
      </c>
      <c r="K1002" s="37"/>
      <c r="L1002" s="60"/>
      <c r="M1002" s="37"/>
      <c r="N1002" s="36"/>
      <c r="O1002" s="37"/>
      <c r="P1002" s="37"/>
      <c r="Q1002" s="39"/>
      <c r="R1002" s="59"/>
      <c r="S1002" s="37"/>
    </row>
    <row r="1003" spans="1:19" ht="15.75" thickBot="1" x14ac:dyDescent="0.3">
      <c r="A1003" s="6"/>
      <c r="B1003" s="36"/>
      <c r="C1003" s="37"/>
      <c r="D1003" s="38"/>
      <c r="E1003" s="37"/>
      <c r="F1003" s="7"/>
      <c r="K1003" s="37"/>
      <c r="L1003" s="60"/>
      <c r="M1003" s="37"/>
      <c r="N1003" s="36"/>
      <c r="O1003" s="37"/>
      <c r="P1003" s="37"/>
      <c r="Q1003" s="39"/>
      <c r="R1003" s="59"/>
      <c r="S1003" s="37"/>
    </row>
    <row r="1004" spans="1:19" ht="15.75" thickBot="1" x14ac:dyDescent="0.3">
      <c r="A1004" s="1" t="s">
        <v>19</v>
      </c>
      <c r="B1004" s="13"/>
      <c r="C1004" s="14"/>
      <c r="D1004" s="15"/>
      <c r="E1004" s="14"/>
      <c r="F1004" s="16"/>
      <c r="K1004" s="37"/>
      <c r="L1004" s="60"/>
      <c r="M1004" s="37"/>
      <c r="N1004" s="36"/>
      <c r="O1004" s="37"/>
      <c r="P1004" s="37"/>
      <c r="Q1004" s="39"/>
      <c r="R1004" s="59"/>
      <c r="S1004" s="37"/>
    </row>
    <row r="1005" spans="1:19" ht="73.5" customHeight="1" x14ac:dyDescent="0.25">
      <c r="A1005" s="95"/>
      <c r="B1005" s="96" t="s">
        <v>208</v>
      </c>
      <c r="C1005" s="97" t="s">
        <v>29</v>
      </c>
      <c r="D1005" s="20">
        <v>1</v>
      </c>
      <c r="E1005" s="197">
        <v>62000</v>
      </c>
      <c r="F1005" s="184">
        <f>ROUND(D1005*E1005,)</f>
        <v>62000</v>
      </c>
      <c r="K1005" s="37"/>
      <c r="L1005" s="60"/>
      <c r="M1005" s="37"/>
      <c r="N1005" s="36"/>
      <c r="O1005" s="37"/>
      <c r="P1005" s="37"/>
      <c r="Q1005" s="39"/>
      <c r="R1005" s="59"/>
      <c r="S1005" s="37"/>
    </row>
    <row r="1006" spans="1:19" ht="15.75" thickBot="1" x14ac:dyDescent="0.3">
      <c r="A1006" s="23"/>
      <c r="B1006" s="24"/>
      <c r="C1006" s="25"/>
      <c r="D1006" s="26"/>
      <c r="E1006" s="181"/>
      <c r="F1006" s="189">
        <f>ROUND(D1006*E1006,)</f>
        <v>0</v>
      </c>
      <c r="K1006" s="37"/>
      <c r="L1006" s="60"/>
      <c r="M1006" s="37"/>
      <c r="N1006" s="36"/>
      <c r="O1006" s="37"/>
      <c r="P1006" s="37"/>
      <c r="Q1006" s="39"/>
      <c r="R1006" s="59"/>
      <c r="S1006" s="37"/>
    </row>
    <row r="1007" spans="1:19" ht="15.75" thickBot="1" x14ac:dyDescent="0.3">
      <c r="A1007" s="6"/>
      <c r="B1007" s="36"/>
      <c r="C1007" s="37"/>
      <c r="D1007" s="38"/>
      <c r="E1007" s="39" t="s">
        <v>20</v>
      </c>
      <c r="F1007" s="187">
        <f>+F1005+F1006</f>
        <v>62000</v>
      </c>
      <c r="K1007" s="37"/>
      <c r="L1007" s="60"/>
      <c r="M1007" s="37"/>
      <c r="N1007" s="36"/>
      <c r="O1007" s="37"/>
      <c r="P1007" s="37"/>
      <c r="Q1007" s="39"/>
      <c r="R1007" s="59"/>
      <c r="S1007" s="37"/>
    </row>
    <row r="1008" spans="1:19" ht="15.75" thickBot="1" x14ac:dyDescent="0.3">
      <c r="A1008" s="6"/>
      <c r="B1008" s="36"/>
      <c r="C1008" s="37"/>
      <c r="D1008" s="38"/>
      <c r="E1008" s="37"/>
      <c r="F1008" s="7"/>
      <c r="K1008" s="37"/>
      <c r="L1008" s="60"/>
      <c r="M1008" s="37"/>
      <c r="N1008" s="36"/>
      <c r="O1008" s="37"/>
      <c r="P1008" s="37"/>
      <c r="Q1008" s="39"/>
      <c r="R1008" s="59"/>
      <c r="S1008" s="37"/>
    </row>
    <row r="1009" spans="1:19" ht="15.75" thickBot="1" x14ac:dyDescent="0.3">
      <c r="A1009" s="44" t="s">
        <v>21</v>
      </c>
      <c r="B1009" s="45"/>
      <c r="C1009" s="46"/>
      <c r="D1009" s="47"/>
      <c r="E1009" s="46"/>
      <c r="F1009" s="48"/>
      <c r="K1009" s="37"/>
      <c r="L1009" s="60"/>
      <c r="M1009" s="37"/>
      <c r="N1009" s="36"/>
      <c r="O1009" s="37"/>
      <c r="P1009" s="37"/>
      <c r="Q1009" s="39"/>
      <c r="R1009" s="59"/>
      <c r="S1009" s="37"/>
    </row>
    <row r="1010" spans="1:19" x14ac:dyDescent="0.25">
      <c r="A1010" s="122"/>
      <c r="B1010" s="87"/>
      <c r="C1010" s="88"/>
      <c r="D1010" s="123"/>
      <c r="E1010" s="182"/>
      <c r="F1010" s="210">
        <f t="shared" ref="F1010:F1012" si="65">ROUND(D1010*E1010,)</f>
        <v>0</v>
      </c>
      <c r="K1010" s="37"/>
      <c r="L1010" s="60"/>
      <c r="M1010" s="37"/>
      <c r="N1010" s="36"/>
      <c r="O1010" s="37"/>
      <c r="P1010" s="37"/>
      <c r="Q1010" s="39"/>
      <c r="R1010" s="59"/>
      <c r="S1010" s="37"/>
    </row>
    <row r="1011" spans="1:19" x14ac:dyDescent="0.25">
      <c r="A1011" s="108"/>
      <c r="B1011" s="43"/>
      <c r="C1011" s="82"/>
      <c r="D1011" s="115"/>
      <c r="E1011" s="180"/>
      <c r="F1011" s="196">
        <f t="shared" si="65"/>
        <v>0</v>
      </c>
      <c r="K1011" s="37"/>
      <c r="L1011" s="60"/>
      <c r="M1011" s="37"/>
      <c r="N1011" s="36"/>
      <c r="O1011" s="37"/>
      <c r="P1011" s="37"/>
      <c r="Q1011" s="39"/>
      <c r="R1011" s="59"/>
      <c r="S1011" s="37"/>
    </row>
    <row r="1012" spans="1:19" ht="15.75" thickBot="1" x14ac:dyDescent="0.3">
      <c r="A1012" s="23"/>
      <c r="B1012" s="24" t="s">
        <v>34</v>
      </c>
      <c r="C1012" s="25" t="s">
        <v>35</v>
      </c>
      <c r="D1012" s="26">
        <v>4.5</v>
      </c>
      <c r="E1012" s="192">
        <v>1700</v>
      </c>
      <c r="F1012" s="186">
        <f t="shared" si="65"/>
        <v>7650</v>
      </c>
      <c r="K1012" s="37"/>
      <c r="L1012" s="60"/>
      <c r="M1012" s="37"/>
      <c r="N1012" s="36"/>
      <c r="O1012" s="37"/>
      <c r="P1012" s="37"/>
      <c r="Q1012" s="39"/>
      <c r="R1012" s="59"/>
      <c r="S1012" s="37"/>
    </row>
    <row r="1013" spans="1:19" ht="15.75" thickBot="1" x14ac:dyDescent="0.3">
      <c r="A1013" s="6"/>
      <c r="B1013" s="36"/>
      <c r="C1013" s="37"/>
      <c r="D1013" s="38"/>
      <c r="E1013" s="39" t="s">
        <v>22</v>
      </c>
      <c r="F1013" s="187">
        <f>SUM(F1010:F1012)</f>
        <v>7650</v>
      </c>
      <c r="K1013" s="37"/>
      <c r="L1013" s="60"/>
      <c r="M1013" s="37"/>
      <c r="N1013" s="36"/>
      <c r="O1013" s="37"/>
      <c r="P1013" s="37"/>
      <c r="Q1013" s="39"/>
      <c r="R1013" s="59"/>
      <c r="S1013" s="37"/>
    </row>
    <row r="1014" spans="1:19" ht="15.75" thickBot="1" x14ac:dyDescent="0.3">
      <c r="A1014" s="6"/>
      <c r="B1014" s="36"/>
      <c r="C1014" s="37"/>
      <c r="D1014" s="38"/>
      <c r="E1014" s="37"/>
      <c r="F1014" s="7"/>
      <c r="K1014" s="37"/>
      <c r="L1014" s="60"/>
      <c r="M1014" s="37"/>
      <c r="N1014" s="36"/>
      <c r="O1014" s="37"/>
      <c r="P1014" s="37"/>
      <c r="Q1014" s="39"/>
      <c r="R1014" s="59"/>
      <c r="S1014" s="37"/>
    </row>
    <row r="1015" spans="1:19" ht="15.75" thickBot="1" x14ac:dyDescent="0.3">
      <c r="A1015" s="44" t="s">
        <v>23</v>
      </c>
      <c r="B1015" s="45"/>
      <c r="C1015" s="46"/>
      <c r="D1015" s="47"/>
      <c r="E1015" s="46"/>
      <c r="F1015" s="48"/>
      <c r="K1015" s="37"/>
      <c r="L1015" s="60"/>
      <c r="M1015" s="37"/>
      <c r="N1015" s="36"/>
      <c r="O1015" s="37"/>
      <c r="P1015" s="37"/>
      <c r="Q1015" s="39"/>
      <c r="R1015" s="59"/>
      <c r="S1015" s="37"/>
    </row>
    <row r="1016" spans="1:19" x14ac:dyDescent="0.25">
      <c r="A1016" s="17"/>
      <c r="B1016" s="232"/>
      <c r="C1016" s="97"/>
      <c r="D1016" s="101"/>
      <c r="E1016" s="218"/>
      <c r="F1016" s="216">
        <f>ROUND(D1016*E1016,)</f>
        <v>0</v>
      </c>
      <c r="K1016" s="37"/>
      <c r="L1016" s="60"/>
      <c r="M1016" s="37"/>
      <c r="N1016" s="36"/>
      <c r="O1016" s="37"/>
      <c r="P1016" s="37"/>
      <c r="Q1016" s="39"/>
      <c r="R1016" s="59"/>
      <c r="S1016" s="37"/>
    </row>
    <row r="1017" spans="1:19" ht="46.5" customHeight="1" x14ac:dyDescent="0.25">
      <c r="A1017" s="92"/>
      <c r="B1017" s="85" t="s">
        <v>231</v>
      </c>
      <c r="C1017" s="142" t="s">
        <v>40</v>
      </c>
      <c r="D1017" s="83">
        <v>1</v>
      </c>
      <c r="E1017" s="182">
        <v>343900</v>
      </c>
      <c r="F1017" s="188">
        <f>ROUND(D1017*E1017,)</f>
        <v>343900</v>
      </c>
      <c r="K1017" s="37"/>
      <c r="L1017" s="60"/>
      <c r="M1017" s="37"/>
      <c r="N1017" s="230"/>
      <c r="O1017" s="37"/>
      <c r="P1017" s="37"/>
      <c r="Q1017" s="39"/>
      <c r="R1017" s="59"/>
      <c r="S1017" s="37"/>
    </row>
    <row r="1018" spans="1:19" ht="21" customHeight="1" thickBot="1" x14ac:dyDescent="0.3">
      <c r="A1018" s="30"/>
      <c r="B1018" s="24" t="s">
        <v>192</v>
      </c>
      <c r="C1018" s="25" t="s">
        <v>40</v>
      </c>
      <c r="D1018" s="80">
        <v>0.3</v>
      </c>
      <c r="E1018" s="192">
        <v>2250</v>
      </c>
      <c r="F1018" s="217">
        <f>ROUND(D1018*E1018,)</f>
        <v>675</v>
      </c>
      <c r="K1018" s="37"/>
      <c r="L1018" s="60"/>
      <c r="M1018" s="37"/>
      <c r="N1018" s="36"/>
      <c r="O1018" s="37"/>
      <c r="P1018" s="37"/>
      <c r="Q1018" s="39"/>
      <c r="R1018" s="59"/>
      <c r="S1018" s="37"/>
    </row>
    <row r="1019" spans="1:19" ht="15.75" thickBot="1" x14ac:dyDescent="0.3">
      <c r="A1019" s="6"/>
      <c r="B1019" s="50"/>
      <c r="C1019" s="61"/>
      <c r="D1019" s="37"/>
      <c r="E1019" s="39" t="s">
        <v>24</v>
      </c>
      <c r="F1019" s="190">
        <f>SUM(F1016:F1018)</f>
        <v>344575</v>
      </c>
      <c r="K1019" s="37"/>
      <c r="L1019" s="60"/>
      <c r="M1019" s="37"/>
      <c r="N1019" s="36"/>
      <c r="O1019" s="37"/>
      <c r="P1019" s="37"/>
      <c r="Q1019" s="39"/>
      <c r="R1019" s="59"/>
      <c r="S1019" s="37"/>
    </row>
    <row r="1020" spans="1:19" ht="15.75" thickBot="1" x14ac:dyDescent="0.3">
      <c r="A1020" s="155"/>
      <c r="B1020" s="9"/>
      <c r="C1020" s="156"/>
      <c r="D1020" s="10"/>
      <c r="E1020" s="39"/>
      <c r="F1020" s="144"/>
      <c r="K1020" s="37"/>
      <c r="L1020" s="60"/>
      <c r="M1020" s="37"/>
      <c r="N1020" s="36"/>
      <c r="O1020" s="37"/>
      <c r="P1020" s="37"/>
      <c r="Q1020" s="39"/>
      <c r="R1020" s="59"/>
      <c r="S1020" s="37"/>
    </row>
    <row r="1021" spans="1:19" ht="15.75" thickBot="1" x14ac:dyDescent="0.3">
      <c r="A1021" s="69" t="s">
        <v>12</v>
      </c>
      <c r="B1021" s="64" t="s">
        <v>25</v>
      </c>
      <c r="C1021" s="65"/>
      <c r="D1021" s="66"/>
      <c r="E1021" s="67"/>
      <c r="F1021" s="351">
        <f>+F1019+F1013+F1007</f>
        <v>414225</v>
      </c>
      <c r="K1021" s="37"/>
      <c r="L1021" s="60"/>
      <c r="M1021" s="37"/>
      <c r="N1021" s="36"/>
      <c r="O1021" s="37"/>
      <c r="P1021" s="37"/>
      <c r="Q1021" s="39"/>
      <c r="R1021" s="59"/>
      <c r="S1021" s="37"/>
    </row>
    <row r="1022" spans="1:19" ht="15.75" thickBot="1" x14ac:dyDescent="0.3">
      <c r="I1022" s="126"/>
      <c r="K1022" s="37"/>
      <c r="L1022" s="60"/>
      <c r="M1022" s="37"/>
      <c r="N1022" s="36"/>
      <c r="O1022" s="37"/>
      <c r="P1022" s="37"/>
      <c r="Q1022" s="39"/>
      <c r="R1022" s="59"/>
      <c r="S1022" s="37"/>
    </row>
    <row r="1023" spans="1:19" ht="21.75" customHeight="1" x14ac:dyDescent="0.25">
      <c r="A1023" s="1" t="s">
        <v>47</v>
      </c>
      <c r="B1023" s="355" t="s">
        <v>173</v>
      </c>
      <c r="C1023" s="355"/>
      <c r="D1023" s="355"/>
      <c r="E1023" s="3"/>
      <c r="F1023" s="146" t="s">
        <v>15</v>
      </c>
      <c r="I1023" s="126"/>
      <c r="K1023" s="37"/>
      <c r="L1023" s="60"/>
      <c r="M1023" s="37"/>
      <c r="N1023" s="36"/>
      <c r="O1023" s="37"/>
      <c r="P1023" s="37"/>
      <c r="Q1023" s="39"/>
      <c r="R1023" s="59"/>
      <c r="S1023" s="37"/>
    </row>
    <row r="1024" spans="1:19" ht="15.75" thickBot="1" x14ac:dyDescent="0.3">
      <c r="A1024" s="70" t="s">
        <v>9</v>
      </c>
      <c r="B1024" s="71">
        <v>4.0999999999999996</v>
      </c>
      <c r="C1024" s="10"/>
      <c r="D1024" s="11"/>
      <c r="E1024" s="10"/>
      <c r="F1024" s="72" t="s">
        <v>40</v>
      </c>
      <c r="I1024" s="126"/>
      <c r="K1024" s="37"/>
      <c r="L1024" s="60"/>
      <c r="M1024" s="37"/>
      <c r="N1024" s="36"/>
      <c r="O1024" s="37"/>
      <c r="P1024" s="37"/>
      <c r="Q1024" s="39"/>
      <c r="R1024" s="59"/>
      <c r="S1024" s="37"/>
    </row>
    <row r="1025" spans="1:19" ht="15.75" thickBot="1" x14ac:dyDescent="0.3">
      <c r="A1025" s="6"/>
      <c r="B1025" s="36"/>
      <c r="C1025" s="37"/>
      <c r="D1025" s="38"/>
      <c r="E1025" s="37"/>
      <c r="F1025" s="7"/>
      <c r="I1025" s="126"/>
      <c r="K1025" s="37"/>
      <c r="L1025" s="60"/>
      <c r="M1025" s="37"/>
      <c r="N1025" s="36"/>
      <c r="O1025" s="37"/>
      <c r="P1025" s="37"/>
      <c r="Q1025" s="39"/>
      <c r="R1025" s="59"/>
      <c r="S1025" s="37"/>
    </row>
    <row r="1026" spans="1:19" ht="15.75" thickBot="1" x14ac:dyDescent="0.3">
      <c r="A1026" s="33" t="s">
        <v>179</v>
      </c>
      <c r="B1026" s="40" t="s">
        <v>47</v>
      </c>
      <c r="C1026" s="34" t="s">
        <v>15</v>
      </c>
      <c r="D1026" s="35" t="s">
        <v>16</v>
      </c>
      <c r="E1026" s="34" t="s">
        <v>17</v>
      </c>
      <c r="F1026" s="41" t="s">
        <v>18</v>
      </c>
      <c r="K1026" s="37"/>
      <c r="L1026" s="60"/>
      <c r="M1026" s="37"/>
      <c r="N1026" s="36"/>
      <c r="O1026" s="37"/>
      <c r="P1026" s="37"/>
      <c r="Q1026" s="39"/>
      <c r="R1026" s="59"/>
      <c r="S1026" s="37"/>
    </row>
    <row r="1027" spans="1:19" ht="15.75" thickBot="1" x14ac:dyDescent="0.3">
      <c r="A1027" s="6"/>
      <c r="B1027" s="36"/>
      <c r="C1027" s="37"/>
      <c r="D1027" s="38"/>
      <c r="E1027" s="37"/>
      <c r="F1027" s="7"/>
      <c r="K1027" s="37"/>
      <c r="L1027" s="60"/>
      <c r="M1027" s="37"/>
      <c r="N1027" s="36"/>
      <c r="O1027" s="37"/>
      <c r="P1027" s="37"/>
      <c r="Q1027" s="39"/>
      <c r="R1027" s="59"/>
      <c r="S1027" s="37"/>
    </row>
    <row r="1028" spans="1:19" ht="15.75" thickBot="1" x14ac:dyDescent="0.3">
      <c r="A1028" s="1" t="s">
        <v>19</v>
      </c>
      <c r="B1028" s="13"/>
      <c r="C1028" s="14"/>
      <c r="D1028" s="15"/>
      <c r="E1028" s="14"/>
      <c r="F1028" s="16"/>
      <c r="K1028" s="37"/>
      <c r="L1028" s="60"/>
      <c r="M1028" s="37"/>
      <c r="N1028" s="36"/>
      <c r="O1028" s="37"/>
      <c r="P1028" s="37"/>
      <c r="Q1028" s="39"/>
      <c r="R1028" s="59"/>
      <c r="S1028" s="37"/>
    </row>
    <row r="1029" spans="1:19" ht="30" x14ac:dyDescent="0.25">
      <c r="A1029" s="95"/>
      <c r="B1029" s="96" t="s">
        <v>105</v>
      </c>
      <c r="C1029" s="97" t="s">
        <v>29</v>
      </c>
      <c r="D1029" s="20">
        <v>0.3</v>
      </c>
      <c r="E1029" s="183">
        <v>82333</v>
      </c>
      <c r="F1029" s="184">
        <f>ROUND(D1029*E1029,)</f>
        <v>24700</v>
      </c>
      <c r="K1029" s="37"/>
      <c r="L1029" s="60"/>
      <c r="M1029" s="37"/>
      <c r="N1029" s="36"/>
      <c r="O1029" s="37"/>
      <c r="P1029" s="37"/>
      <c r="Q1029" s="39"/>
      <c r="R1029" s="59"/>
      <c r="S1029" s="37"/>
    </row>
    <row r="1030" spans="1:19" ht="15.75" thickBot="1" x14ac:dyDescent="0.3">
      <c r="A1030" s="23"/>
      <c r="B1030" s="78" t="s">
        <v>98</v>
      </c>
      <c r="C1030" s="79" t="s">
        <v>29</v>
      </c>
      <c r="D1030" s="80">
        <v>0.3</v>
      </c>
      <c r="E1030" s="192">
        <v>133000</v>
      </c>
      <c r="F1030" s="189">
        <f>ROUND(D1030*E1030,)</f>
        <v>39900</v>
      </c>
      <c r="K1030" s="37"/>
      <c r="L1030" s="60"/>
      <c r="M1030" s="37"/>
      <c r="N1030" s="36"/>
      <c r="O1030" s="37"/>
      <c r="P1030" s="37"/>
      <c r="Q1030" s="39"/>
      <c r="R1030" s="59"/>
      <c r="S1030" s="37"/>
    </row>
    <row r="1031" spans="1:19" ht="15.75" thickBot="1" x14ac:dyDescent="0.3">
      <c r="A1031" s="6"/>
      <c r="B1031" s="36"/>
      <c r="C1031" s="37"/>
      <c r="D1031" s="38"/>
      <c r="E1031" s="39" t="s">
        <v>20</v>
      </c>
      <c r="F1031" s="187">
        <f>+F1029+F1030</f>
        <v>64600</v>
      </c>
      <c r="K1031" s="37"/>
      <c r="L1031" s="60"/>
      <c r="M1031" s="37"/>
      <c r="N1031" s="36"/>
      <c r="O1031" s="37"/>
      <c r="P1031" s="37"/>
      <c r="Q1031" s="39"/>
      <c r="R1031" s="59"/>
      <c r="S1031" s="37"/>
    </row>
    <row r="1032" spans="1:19" ht="15.75" thickBot="1" x14ac:dyDescent="0.3">
      <c r="A1032" s="6"/>
      <c r="B1032" s="36"/>
      <c r="C1032" s="37"/>
      <c r="D1032" s="38"/>
      <c r="E1032" s="37"/>
      <c r="F1032" s="7"/>
      <c r="K1032" s="37"/>
      <c r="L1032" s="60"/>
      <c r="M1032" s="37"/>
      <c r="N1032" s="36"/>
      <c r="O1032" s="37"/>
      <c r="P1032" s="37"/>
      <c r="Q1032" s="39"/>
      <c r="R1032" s="59"/>
      <c r="S1032" s="37"/>
    </row>
    <row r="1033" spans="1:19" ht="15.75" thickBot="1" x14ac:dyDescent="0.3">
      <c r="A1033" s="44" t="s">
        <v>21</v>
      </c>
      <c r="B1033" s="45"/>
      <c r="C1033" s="46"/>
      <c r="D1033" s="47"/>
      <c r="E1033" s="46"/>
      <c r="F1033" s="48"/>
      <c r="K1033" s="37"/>
      <c r="L1033" s="60"/>
      <c r="M1033" s="37"/>
      <c r="N1033" s="36"/>
      <c r="O1033" s="37"/>
      <c r="P1033" s="37"/>
      <c r="Q1033" s="39"/>
      <c r="R1033" s="59"/>
      <c r="S1033" s="37"/>
    </row>
    <row r="1034" spans="1:19" x14ac:dyDescent="0.25">
      <c r="A1034" s="122"/>
      <c r="B1034" s="87"/>
      <c r="C1034" s="88"/>
      <c r="D1034" s="123"/>
      <c r="E1034" s="182"/>
      <c r="F1034" s="210">
        <f t="shared" ref="F1034:F1035" si="66">ROUND(D1034*E1034,)</f>
        <v>0</v>
      </c>
      <c r="K1034" s="37"/>
      <c r="L1034" s="60"/>
      <c r="M1034" s="37"/>
      <c r="N1034" s="36"/>
      <c r="O1034" s="37"/>
      <c r="P1034" s="37"/>
      <c r="Q1034" s="39"/>
      <c r="R1034" s="59"/>
      <c r="S1034" s="37"/>
    </row>
    <row r="1035" spans="1:19" ht="15.75" thickBot="1" x14ac:dyDescent="0.3">
      <c r="A1035" s="23"/>
      <c r="B1035" s="24" t="s">
        <v>34</v>
      </c>
      <c r="C1035" s="25" t="s">
        <v>35</v>
      </c>
      <c r="D1035" s="26">
        <v>1.1000000000000001</v>
      </c>
      <c r="E1035" s="192">
        <v>1700</v>
      </c>
      <c r="F1035" s="186">
        <f t="shared" si="66"/>
        <v>1870</v>
      </c>
      <c r="K1035" s="37"/>
      <c r="L1035" s="60"/>
      <c r="M1035" s="37"/>
      <c r="N1035" s="36"/>
      <c r="O1035" s="37"/>
      <c r="P1035" s="37"/>
      <c r="Q1035" s="39"/>
      <c r="R1035" s="59"/>
      <c r="S1035" s="37"/>
    </row>
    <row r="1036" spans="1:19" ht="15.75" thickBot="1" x14ac:dyDescent="0.3">
      <c r="A1036" s="6"/>
      <c r="B1036" s="36"/>
      <c r="C1036" s="37"/>
      <c r="D1036" s="38"/>
      <c r="E1036" s="39" t="s">
        <v>22</v>
      </c>
      <c r="F1036" s="187">
        <f>SUM(F1034:F1035)</f>
        <v>1870</v>
      </c>
      <c r="K1036" s="37"/>
      <c r="L1036" s="60"/>
      <c r="M1036" s="37"/>
      <c r="N1036" s="36"/>
      <c r="O1036" s="37"/>
      <c r="P1036" s="37"/>
      <c r="Q1036" s="39"/>
      <c r="R1036" s="59"/>
      <c r="S1036" s="37"/>
    </row>
    <row r="1037" spans="1:19" ht="15.75" thickBot="1" x14ac:dyDescent="0.3">
      <c r="A1037" s="6"/>
      <c r="B1037" s="36"/>
      <c r="C1037" s="37"/>
      <c r="D1037" s="38"/>
      <c r="E1037" s="37"/>
      <c r="F1037" s="7"/>
      <c r="K1037" s="37"/>
      <c r="L1037" s="60"/>
      <c r="M1037" s="37"/>
      <c r="N1037" s="36"/>
      <c r="O1037" s="37"/>
      <c r="P1037" s="37"/>
      <c r="Q1037" s="39"/>
      <c r="R1037" s="59"/>
      <c r="S1037" s="37"/>
    </row>
    <row r="1038" spans="1:19" ht="15.75" thickBot="1" x14ac:dyDescent="0.3">
      <c r="A1038" s="44" t="s">
        <v>23</v>
      </c>
      <c r="B1038" s="45"/>
      <c r="C1038" s="46"/>
      <c r="D1038" s="47"/>
      <c r="E1038" s="46"/>
      <c r="F1038" s="48"/>
      <c r="K1038" s="37"/>
      <c r="L1038" s="60"/>
      <c r="M1038" s="37"/>
      <c r="N1038" s="36"/>
      <c r="O1038" s="37"/>
      <c r="P1038" s="37"/>
      <c r="Q1038" s="39"/>
      <c r="R1038" s="59"/>
      <c r="S1038" s="37"/>
    </row>
    <row r="1039" spans="1:19" x14ac:dyDescent="0.25">
      <c r="A1039" s="17"/>
      <c r="B1039" s="96" t="s">
        <v>113</v>
      </c>
      <c r="C1039" s="97" t="s">
        <v>40</v>
      </c>
      <c r="D1039" s="20">
        <v>1</v>
      </c>
      <c r="E1039" s="218">
        <v>5200</v>
      </c>
      <c r="F1039" s="216">
        <f>ROUND(D1039*E1039,)</f>
        <v>5200</v>
      </c>
      <c r="K1039" s="37"/>
      <c r="L1039" s="60"/>
      <c r="M1039" s="37"/>
      <c r="N1039" s="36"/>
      <c r="O1039" s="37"/>
      <c r="P1039" s="37"/>
      <c r="Q1039" s="39"/>
      <c r="R1039" s="59"/>
      <c r="S1039" s="37"/>
    </row>
    <row r="1040" spans="1:19" x14ac:dyDescent="0.25">
      <c r="A1040" s="92"/>
      <c r="B1040" s="85" t="s">
        <v>114</v>
      </c>
      <c r="C1040" s="86" t="s">
        <v>40</v>
      </c>
      <c r="D1040" s="83">
        <v>1</v>
      </c>
      <c r="E1040" s="235">
        <v>2390</v>
      </c>
      <c r="F1040" s="188">
        <f t="shared" ref="F1040:F1041" si="67">ROUND(D1040*E1040,)</f>
        <v>2390</v>
      </c>
      <c r="K1040" s="37"/>
      <c r="L1040" s="60"/>
      <c r="M1040" s="37"/>
      <c r="N1040" s="36"/>
      <c r="O1040" s="37"/>
      <c r="P1040" s="37"/>
      <c r="Q1040" s="39"/>
      <c r="R1040" s="59"/>
      <c r="S1040" s="37"/>
    </row>
    <row r="1041" spans="1:19" x14ac:dyDescent="0.25">
      <c r="A1041" s="92"/>
      <c r="B1041" s="93" t="s">
        <v>115</v>
      </c>
      <c r="C1041" s="94" t="s">
        <v>33</v>
      </c>
      <c r="D1041" s="89">
        <v>1</v>
      </c>
      <c r="E1041" s="235">
        <v>7500</v>
      </c>
      <c r="F1041" s="188">
        <f t="shared" si="67"/>
        <v>7500</v>
      </c>
      <c r="K1041" s="37"/>
      <c r="L1041" s="60"/>
      <c r="M1041" s="37"/>
      <c r="N1041" s="36"/>
      <c r="O1041" s="37"/>
      <c r="P1041" s="37"/>
      <c r="Q1041" s="39"/>
      <c r="R1041" s="59"/>
      <c r="S1041" s="37"/>
    </row>
    <row r="1042" spans="1:19" ht="30" x14ac:dyDescent="0.25">
      <c r="A1042" s="92"/>
      <c r="B1042" s="93" t="s">
        <v>116</v>
      </c>
      <c r="C1042" s="94" t="s">
        <v>40</v>
      </c>
      <c r="D1042" s="89">
        <v>1</v>
      </c>
      <c r="E1042" s="235">
        <v>6900</v>
      </c>
      <c r="F1042" s="188">
        <f>ROUND(D1042*E1042,)</f>
        <v>6900</v>
      </c>
      <c r="K1042" s="37"/>
      <c r="L1042" s="60"/>
      <c r="M1042" s="37"/>
      <c r="N1042" s="36"/>
      <c r="O1042" s="37"/>
      <c r="P1042" s="37"/>
      <c r="Q1042" s="39"/>
      <c r="R1042" s="59"/>
      <c r="S1042" s="37"/>
    </row>
    <row r="1043" spans="1:19" x14ac:dyDescent="0.25">
      <c r="A1043" s="91"/>
      <c r="B1043" s="93" t="s">
        <v>117</v>
      </c>
      <c r="C1043" s="94" t="s">
        <v>118</v>
      </c>
      <c r="D1043" s="89">
        <v>7.0000000000000007E-2</v>
      </c>
      <c r="E1043" s="235">
        <v>22000</v>
      </c>
      <c r="F1043" s="188">
        <f>ROUND(D1043*E1043,)</f>
        <v>1540</v>
      </c>
      <c r="K1043" s="37"/>
      <c r="L1043" s="60"/>
      <c r="M1043" s="37"/>
      <c r="N1043" s="36"/>
      <c r="O1043" s="37"/>
      <c r="P1043" s="37"/>
      <c r="Q1043" s="39"/>
      <c r="R1043" s="59"/>
      <c r="S1043" s="37"/>
    </row>
    <row r="1044" spans="1:19" ht="15.75" thickBot="1" x14ac:dyDescent="0.3">
      <c r="A1044" s="30"/>
      <c r="B1044" s="24"/>
      <c r="C1044" s="25"/>
      <c r="D1044" s="172"/>
      <c r="E1044" s="192"/>
      <c r="F1044" s="217">
        <f>ROUND(D1044*E1044,)</f>
        <v>0</v>
      </c>
      <c r="K1044" s="37"/>
      <c r="L1044" s="60"/>
      <c r="M1044" s="37"/>
      <c r="N1044" s="36"/>
      <c r="O1044" s="37"/>
      <c r="P1044" s="37"/>
      <c r="Q1044" s="39"/>
      <c r="R1044" s="59"/>
      <c r="S1044" s="37"/>
    </row>
    <row r="1045" spans="1:19" ht="15.75" thickBot="1" x14ac:dyDescent="0.3">
      <c r="A1045" s="6"/>
      <c r="B1045" s="50"/>
      <c r="C1045" s="61"/>
      <c r="D1045" s="37"/>
      <c r="E1045" s="39" t="s">
        <v>24</v>
      </c>
      <c r="F1045" s="190">
        <f>SUM(F1039:F1044)</f>
        <v>23530</v>
      </c>
      <c r="K1045" s="37"/>
      <c r="L1045" s="60"/>
      <c r="M1045" s="37"/>
      <c r="N1045" s="36"/>
      <c r="O1045" s="37"/>
      <c r="P1045" s="37"/>
      <c r="Q1045" s="39"/>
      <c r="R1045" s="59"/>
      <c r="S1045" s="37"/>
    </row>
    <row r="1046" spans="1:19" ht="15.75" thickBot="1" x14ac:dyDescent="0.3">
      <c r="A1046" s="155"/>
      <c r="B1046" s="9"/>
      <c r="C1046" s="156"/>
      <c r="D1046" s="10"/>
      <c r="E1046" s="39"/>
      <c r="F1046" s="144"/>
      <c r="K1046" s="37"/>
      <c r="L1046" s="60"/>
      <c r="M1046" s="37"/>
      <c r="N1046" s="143"/>
      <c r="O1046" s="37"/>
      <c r="P1046" s="37"/>
      <c r="Q1046" s="39"/>
      <c r="R1046" s="59"/>
      <c r="S1046" s="37"/>
    </row>
    <row r="1047" spans="1:19" ht="15.75" thickBot="1" x14ac:dyDescent="0.3">
      <c r="A1047" s="69" t="s">
        <v>12</v>
      </c>
      <c r="B1047" s="64" t="s">
        <v>25</v>
      </c>
      <c r="C1047" s="65"/>
      <c r="D1047" s="66"/>
      <c r="E1047" s="67"/>
      <c r="F1047" s="351">
        <f>+F1045+F1036+F1031</f>
        <v>90000</v>
      </c>
      <c r="H1047" s="126"/>
      <c r="K1047" s="37"/>
      <c r="L1047" s="60"/>
      <c r="M1047" s="37"/>
      <c r="N1047" s="36"/>
      <c r="O1047" s="37"/>
      <c r="P1047" s="37"/>
      <c r="Q1047" s="39"/>
      <c r="R1047" s="59"/>
      <c r="S1047" s="37"/>
    </row>
    <row r="1048" spans="1:19" ht="15.75" thickBot="1" x14ac:dyDescent="0.3">
      <c r="K1048" s="37"/>
      <c r="L1048" s="60"/>
      <c r="M1048" s="37"/>
      <c r="N1048" s="36"/>
      <c r="O1048" s="37"/>
      <c r="P1048" s="37"/>
      <c r="Q1048" s="39"/>
      <c r="R1048" s="59"/>
      <c r="S1048" s="37"/>
    </row>
    <row r="1049" spans="1:19" ht="31.5" customHeight="1" x14ac:dyDescent="0.25">
      <c r="A1049" s="1" t="s">
        <v>47</v>
      </c>
      <c r="B1049" s="355" t="s">
        <v>194</v>
      </c>
      <c r="C1049" s="355"/>
      <c r="D1049" s="355"/>
      <c r="E1049" s="3"/>
      <c r="F1049" s="146" t="s">
        <v>15</v>
      </c>
      <c r="K1049" s="37"/>
      <c r="L1049" s="60"/>
      <c r="M1049" s="37"/>
      <c r="N1049" s="36"/>
      <c r="O1049" s="37"/>
      <c r="P1049" s="37"/>
      <c r="Q1049" s="39"/>
      <c r="R1049" s="59"/>
      <c r="S1049" s="37"/>
    </row>
    <row r="1050" spans="1:19" ht="15.75" thickBot="1" x14ac:dyDescent="0.3">
      <c r="A1050" s="70" t="s">
        <v>9</v>
      </c>
      <c r="B1050" s="71">
        <v>4.2</v>
      </c>
      <c r="C1050" s="10"/>
      <c r="D1050" s="11"/>
      <c r="E1050" s="10"/>
      <c r="F1050" s="72" t="s">
        <v>40</v>
      </c>
      <c r="K1050" s="37"/>
      <c r="L1050" s="60"/>
      <c r="M1050" s="37"/>
      <c r="N1050" s="36"/>
      <c r="O1050" s="37"/>
      <c r="P1050" s="37"/>
      <c r="Q1050" s="39"/>
      <c r="R1050" s="59"/>
      <c r="S1050" s="37"/>
    </row>
    <row r="1051" spans="1:19" ht="15.75" thickBot="1" x14ac:dyDescent="0.3">
      <c r="A1051" s="6"/>
      <c r="B1051" s="36"/>
      <c r="C1051" s="37"/>
      <c r="D1051" s="38"/>
      <c r="E1051" s="37"/>
      <c r="F1051" s="7"/>
      <c r="K1051" s="37"/>
      <c r="L1051" s="60"/>
      <c r="M1051" s="37"/>
      <c r="N1051" s="36"/>
      <c r="O1051" s="37"/>
      <c r="P1051" s="37"/>
      <c r="Q1051" s="39"/>
      <c r="R1051" s="59"/>
      <c r="S1051" s="37"/>
    </row>
    <row r="1052" spans="1:19" ht="15.75" thickBot="1" x14ac:dyDescent="0.3">
      <c r="A1052" s="33" t="s">
        <v>179</v>
      </c>
      <c r="B1052" s="40" t="s">
        <v>47</v>
      </c>
      <c r="C1052" s="34" t="s">
        <v>15</v>
      </c>
      <c r="D1052" s="35" t="s">
        <v>16</v>
      </c>
      <c r="E1052" s="34" t="s">
        <v>17</v>
      </c>
      <c r="F1052" s="41" t="s">
        <v>18</v>
      </c>
      <c r="K1052" s="37"/>
      <c r="L1052" s="60"/>
      <c r="M1052" s="37"/>
      <c r="N1052" s="36"/>
      <c r="O1052" s="37"/>
      <c r="P1052" s="37"/>
      <c r="Q1052" s="39"/>
      <c r="R1052" s="59"/>
      <c r="S1052" s="37"/>
    </row>
    <row r="1053" spans="1:19" ht="15.75" thickBot="1" x14ac:dyDescent="0.3">
      <c r="A1053" s="6"/>
      <c r="B1053" s="36"/>
      <c r="C1053" s="37"/>
      <c r="D1053" s="38"/>
      <c r="E1053" s="37"/>
      <c r="F1053" s="7"/>
      <c r="K1053" s="37"/>
      <c r="L1053" s="60"/>
      <c r="M1053" s="37"/>
      <c r="N1053" s="36"/>
      <c r="O1053" s="37"/>
      <c r="P1053" s="37"/>
      <c r="Q1053" s="39"/>
      <c r="R1053" s="59"/>
      <c r="S1053" s="37"/>
    </row>
    <row r="1054" spans="1:19" ht="15.75" thickBot="1" x14ac:dyDescent="0.3">
      <c r="A1054" s="1" t="s">
        <v>19</v>
      </c>
      <c r="B1054" s="13"/>
      <c r="C1054" s="14"/>
      <c r="D1054" s="15"/>
      <c r="E1054" s="14"/>
      <c r="F1054" s="16"/>
      <c r="K1054" s="37"/>
      <c r="L1054" s="60"/>
      <c r="M1054" s="37"/>
      <c r="N1054" s="36"/>
      <c r="O1054" s="37"/>
      <c r="P1054" s="37"/>
      <c r="Q1054" s="39"/>
      <c r="R1054" s="59"/>
      <c r="S1054" s="37"/>
    </row>
    <row r="1055" spans="1:19" ht="31.5" customHeight="1" x14ac:dyDescent="0.25">
      <c r="A1055" s="95"/>
      <c r="B1055" s="96" t="s">
        <v>105</v>
      </c>
      <c r="C1055" s="97" t="s">
        <v>29</v>
      </c>
      <c r="D1055" s="20">
        <v>0.32</v>
      </c>
      <c r="E1055" s="183">
        <v>82333</v>
      </c>
      <c r="F1055" s="184">
        <f>ROUND(D1055*E1055,)</f>
        <v>26347</v>
      </c>
      <c r="K1055" s="37"/>
      <c r="L1055" s="60"/>
      <c r="M1055" s="37"/>
      <c r="N1055" s="36"/>
      <c r="O1055" s="37"/>
      <c r="P1055" s="37"/>
      <c r="Q1055" s="39"/>
      <c r="R1055" s="59"/>
      <c r="S1055" s="37"/>
    </row>
    <row r="1056" spans="1:19" ht="15.75" thickBot="1" x14ac:dyDescent="0.3">
      <c r="A1056" s="23"/>
      <c r="B1056" s="24"/>
      <c r="C1056" s="25"/>
      <c r="D1056" s="26"/>
      <c r="E1056" s="181"/>
      <c r="F1056" s="189">
        <f>ROUND(D1056*E1056,)</f>
        <v>0</v>
      </c>
      <c r="K1056" s="37"/>
      <c r="L1056" s="60"/>
      <c r="M1056" s="37"/>
      <c r="N1056" s="36"/>
      <c r="O1056" s="37"/>
      <c r="P1056" s="37"/>
      <c r="Q1056" s="39"/>
      <c r="R1056" s="59"/>
      <c r="S1056" s="37"/>
    </row>
    <row r="1057" spans="1:19" ht="15.75" thickBot="1" x14ac:dyDescent="0.3">
      <c r="A1057" s="6"/>
      <c r="B1057" s="36"/>
      <c r="C1057" s="37"/>
      <c r="D1057" s="38"/>
      <c r="E1057" s="39" t="s">
        <v>20</v>
      </c>
      <c r="F1057" s="187">
        <f>+F1055+F1056</f>
        <v>26347</v>
      </c>
      <c r="K1057" s="37"/>
      <c r="L1057" s="60"/>
      <c r="M1057" s="37"/>
      <c r="N1057" s="36"/>
      <c r="O1057" s="37"/>
      <c r="P1057" s="37"/>
      <c r="Q1057" s="39"/>
      <c r="R1057" s="59"/>
      <c r="S1057" s="37"/>
    </row>
    <row r="1058" spans="1:19" ht="15.75" thickBot="1" x14ac:dyDescent="0.3">
      <c r="A1058" s="6"/>
      <c r="B1058" s="36"/>
      <c r="C1058" s="37"/>
      <c r="D1058" s="38"/>
      <c r="E1058" s="37"/>
      <c r="F1058" s="7"/>
      <c r="K1058" s="37"/>
      <c r="L1058" s="60"/>
      <c r="M1058" s="37"/>
      <c r="N1058" s="36"/>
      <c r="O1058" s="37"/>
      <c r="P1058" s="37"/>
      <c r="Q1058" s="39"/>
      <c r="R1058" s="59"/>
      <c r="S1058" s="37"/>
    </row>
    <row r="1059" spans="1:19" ht="15.75" thickBot="1" x14ac:dyDescent="0.3">
      <c r="A1059" s="44" t="s">
        <v>21</v>
      </c>
      <c r="B1059" s="45"/>
      <c r="C1059" s="46"/>
      <c r="D1059" s="47"/>
      <c r="E1059" s="46"/>
      <c r="F1059" s="48"/>
      <c r="K1059" s="37"/>
      <c r="L1059" s="60"/>
      <c r="M1059" s="37"/>
      <c r="N1059" s="36"/>
      <c r="O1059" s="37"/>
      <c r="P1059" s="37"/>
      <c r="Q1059" s="39"/>
      <c r="R1059" s="59"/>
      <c r="S1059" s="37"/>
    </row>
    <row r="1060" spans="1:19" x14ac:dyDescent="0.25">
      <c r="A1060" s="122"/>
      <c r="B1060" s="87"/>
      <c r="C1060" s="88"/>
      <c r="D1060" s="123"/>
      <c r="E1060" s="182"/>
      <c r="F1060" s="210">
        <f t="shared" ref="F1060:F1062" si="68">ROUND(D1060*E1060,)</f>
        <v>0</v>
      </c>
      <c r="K1060" s="37"/>
      <c r="L1060" s="60"/>
      <c r="M1060" s="37"/>
      <c r="N1060" s="36"/>
      <c r="O1060" s="37"/>
      <c r="P1060" s="37"/>
      <c r="Q1060" s="39"/>
      <c r="R1060" s="59"/>
      <c r="S1060" s="37"/>
    </row>
    <row r="1061" spans="1:19" x14ac:dyDescent="0.25">
      <c r="A1061" s="108"/>
      <c r="B1061" s="43"/>
      <c r="C1061" s="82"/>
      <c r="D1061" s="115"/>
      <c r="E1061" s="180"/>
      <c r="F1061" s="196">
        <f t="shared" si="68"/>
        <v>0</v>
      </c>
      <c r="K1061" s="37"/>
      <c r="L1061" s="60"/>
      <c r="M1061" s="37"/>
      <c r="N1061" s="36"/>
      <c r="O1061" s="37"/>
      <c r="P1061" s="37"/>
      <c r="Q1061" s="39"/>
      <c r="R1061" s="59"/>
      <c r="S1061" s="37"/>
    </row>
    <row r="1062" spans="1:19" ht="15.75" thickBot="1" x14ac:dyDescent="0.3">
      <c r="A1062" s="23"/>
      <c r="B1062" s="24" t="s">
        <v>34</v>
      </c>
      <c r="C1062" s="25" t="s">
        <v>35</v>
      </c>
      <c r="D1062" s="26">
        <v>0.02</v>
      </c>
      <c r="E1062" s="192">
        <v>1700</v>
      </c>
      <c r="F1062" s="186">
        <f t="shared" si="68"/>
        <v>34</v>
      </c>
      <c r="K1062" s="37"/>
      <c r="L1062" s="60"/>
      <c r="M1062" s="37"/>
      <c r="N1062" s="36"/>
      <c r="O1062" s="37"/>
      <c r="P1062" s="37"/>
      <c r="Q1062" s="39"/>
      <c r="R1062" s="59"/>
      <c r="S1062" s="37"/>
    </row>
    <row r="1063" spans="1:19" ht="15.75" thickBot="1" x14ac:dyDescent="0.3">
      <c r="A1063" s="6"/>
      <c r="B1063" s="36"/>
      <c r="C1063" s="37"/>
      <c r="D1063" s="38"/>
      <c r="E1063" s="39" t="s">
        <v>22</v>
      </c>
      <c r="F1063" s="187">
        <f>SUM(F1060:F1062)</f>
        <v>34</v>
      </c>
      <c r="K1063" s="37"/>
      <c r="L1063" s="60"/>
      <c r="M1063" s="37"/>
      <c r="N1063" s="36"/>
      <c r="O1063" s="37"/>
      <c r="P1063" s="37"/>
      <c r="Q1063" s="39"/>
      <c r="R1063" s="59"/>
      <c r="S1063" s="37"/>
    </row>
    <row r="1064" spans="1:19" ht="15.75" thickBot="1" x14ac:dyDescent="0.3">
      <c r="A1064" s="6"/>
      <c r="B1064" s="36"/>
      <c r="C1064" s="37"/>
      <c r="D1064" s="38"/>
      <c r="E1064" s="37"/>
      <c r="F1064" s="7"/>
      <c r="K1064" s="37"/>
      <c r="L1064" s="60"/>
      <c r="M1064" s="37"/>
      <c r="N1064" s="36"/>
      <c r="O1064" s="37"/>
      <c r="P1064" s="37"/>
      <c r="Q1064" s="39"/>
      <c r="R1064" s="59"/>
      <c r="S1064" s="37"/>
    </row>
    <row r="1065" spans="1:19" ht="15.75" thickBot="1" x14ac:dyDescent="0.3">
      <c r="A1065" s="44" t="s">
        <v>23</v>
      </c>
      <c r="B1065" s="45"/>
      <c r="C1065" s="46"/>
      <c r="D1065" s="47"/>
      <c r="E1065" s="46"/>
      <c r="F1065" s="48"/>
      <c r="K1065" s="37"/>
      <c r="L1065" s="60"/>
      <c r="M1065" s="37"/>
      <c r="N1065" s="36"/>
      <c r="O1065" s="37"/>
      <c r="P1065" s="37"/>
      <c r="Q1065" s="39"/>
      <c r="R1065" s="59"/>
      <c r="S1065" s="37"/>
    </row>
    <row r="1066" spans="1:19" ht="30" x14ac:dyDescent="0.25">
      <c r="A1066" s="17"/>
      <c r="B1066" s="96" t="s">
        <v>232</v>
      </c>
      <c r="C1066" s="97" t="s">
        <v>40</v>
      </c>
      <c r="D1066" s="20">
        <v>1</v>
      </c>
      <c r="E1066" s="202">
        <v>134900</v>
      </c>
      <c r="F1066" s="214">
        <f>ROUND(D1066*E1066,)</f>
        <v>134900</v>
      </c>
      <c r="K1066" s="37"/>
      <c r="L1066" s="60"/>
      <c r="M1066" s="37"/>
      <c r="N1066" s="233"/>
      <c r="O1066" s="37"/>
      <c r="P1066" s="37"/>
      <c r="Q1066" s="39"/>
      <c r="R1066" s="59"/>
      <c r="S1066" s="37"/>
    </row>
    <row r="1067" spans="1:19" x14ac:dyDescent="0.25">
      <c r="A1067" s="92"/>
      <c r="B1067" s="170"/>
      <c r="C1067" s="142"/>
      <c r="D1067" s="179"/>
      <c r="E1067" s="226"/>
      <c r="F1067" s="188">
        <f>ROUND(D1067*E1067,)</f>
        <v>0</v>
      </c>
      <c r="K1067" s="37"/>
      <c r="L1067" s="60"/>
      <c r="M1067" s="37"/>
      <c r="N1067" s="36"/>
      <c r="O1067" s="37"/>
      <c r="P1067" s="37"/>
      <c r="Q1067" s="39"/>
      <c r="R1067" s="59"/>
      <c r="S1067" s="37"/>
    </row>
    <row r="1068" spans="1:19" x14ac:dyDescent="0.25">
      <c r="A1068" s="91"/>
      <c r="B1068" s="158"/>
      <c r="C1068" s="151"/>
      <c r="D1068" s="152"/>
      <c r="E1068" s="205"/>
      <c r="F1068" s="188">
        <f>ROUND(D1068*E1068,)</f>
        <v>0</v>
      </c>
      <c r="K1068" s="37"/>
      <c r="L1068" s="60"/>
      <c r="M1068" s="37"/>
      <c r="N1068" s="36"/>
      <c r="O1068" s="37"/>
      <c r="P1068" s="37"/>
      <c r="Q1068" s="39"/>
      <c r="R1068" s="59"/>
      <c r="S1068" s="37"/>
    </row>
    <row r="1069" spans="1:19" ht="15.75" thickBot="1" x14ac:dyDescent="0.3">
      <c r="A1069" s="30"/>
      <c r="B1069" s="24"/>
      <c r="C1069" s="25"/>
      <c r="D1069" s="172"/>
      <c r="E1069" s="208"/>
      <c r="F1069" s="186"/>
      <c r="K1069" s="37"/>
      <c r="L1069" s="60"/>
      <c r="M1069" s="37"/>
      <c r="N1069" s="36"/>
      <c r="O1069" s="37"/>
      <c r="P1069" s="37"/>
      <c r="Q1069" s="39"/>
      <c r="R1069" s="59"/>
      <c r="S1069" s="37"/>
    </row>
    <row r="1070" spans="1:19" ht="15.75" thickBot="1" x14ac:dyDescent="0.3">
      <c r="A1070" s="6"/>
      <c r="B1070" s="50"/>
      <c r="C1070" s="61"/>
      <c r="D1070" s="37"/>
      <c r="E1070" s="39" t="s">
        <v>24</v>
      </c>
      <c r="F1070" s="187">
        <f>SUM(F1066:F1069)</f>
        <v>134900</v>
      </c>
      <c r="K1070" s="37"/>
      <c r="L1070" s="60"/>
      <c r="M1070" s="37"/>
      <c r="N1070" s="36"/>
      <c r="O1070" s="37"/>
      <c r="P1070" s="37"/>
      <c r="Q1070" s="39"/>
      <c r="R1070" s="59"/>
      <c r="S1070" s="37"/>
    </row>
    <row r="1071" spans="1:19" ht="15.75" thickBot="1" x14ac:dyDescent="0.3">
      <c r="A1071" s="155"/>
      <c r="B1071" s="9"/>
      <c r="C1071" s="156"/>
      <c r="D1071" s="10"/>
      <c r="E1071" s="39"/>
      <c r="F1071" s="212"/>
      <c r="K1071" s="37"/>
      <c r="L1071" s="60"/>
      <c r="M1071" s="37"/>
      <c r="N1071" s="36"/>
      <c r="O1071" s="37"/>
      <c r="P1071" s="37"/>
      <c r="Q1071" s="39"/>
      <c r="R1071" s="59"/>
      <c r="S1071" s="37"/>
    </row>
    <row r="1072" spans="1:19" ht="15.75" thickBot="1" x14ac:dyDescent="0.3">
      <c r="A1072" s="69" t="s">
        <v>12</v>
      </c>
      <c r="B1072" s="64" t="s">
        <v>25</v>
      </c>
      <c r="C1072" s="65"/>
      <c r="D1072" s="66"/>
      <c r="E1072" s="67"/>
      <c r="F1072" s="352">
        <f>+F1070+F1063+F1057</f>
        <v>161281</v>
      </c>
      <c r="H1072" s="126"/>
      <c r="K1072" s="37"/>
      <c r="L1072" s="60"/>
      <c r="M1072" s="37"/>
      <c r="N1072" s="36"/>
      <c r="O1072" s="37"/>
      <c r="P1072" s="37"/>
      <c r="Q1072" s="39"/>
      <c r="R1072" s="59"/>
      <c r="S1072" s="37"/>
    </row>
    <row r="1073" spans="1:19" ht="15.75" thickBot="1" x14ac:dyDescent="0.3">
      <c r="K1073" s="37"/>
      <c r="L1073" s="60"/>
      <c r="M1073" s="37"/>
      <c r="N1073" s="36"/>
      <c r="O1073" s="37"/>
      <c r="P1073" s="37"/>
      <c r="Q1073" s="39"/>
      <c r="R1073" s="59"/>
      <c r="S1073" s="37"/>
    </row>
    <row r="1074" spans="1:19" ht="31.5" customHeight="1" x14ac:dyDescent="0.25">
      <c r="A1074" s="1" t="s">
        <v>47</v>
      </c>
      <c r="B1074" s="355" t="s">
        <v>195</v>
      </c>
      <c r="C1074" s="355"/>
      <c r="D1074" s="355"/>
      <c r="E1074" s="3"/>
      <c r="F1074" s="146" t="s">
        <v>15</v>
      </c>
      <c r="K1074" s="37"/>
      <c r="L1074" s="60"/>
      <c r="M1074" s="37"/>
      <c r="N1074" s="36"/>
      <c r="O1074" s="37"/>
      <c r="P1074" s="37"/>
      <c r="Q1074" s="39"/>
      <c r="R1074" s="59"/>
      <c r="S1074" s="37"/>
    </row>
    <row r="1075" spans="1:19" ht="15.75" thickBot="1" x14ac:dyDescent="0.3">
      <c r="A1075" s="70" t="s">
        <v>9</v>
      </c>
      <c r="B1075" s="71">
        <v>4.3</v>
      </c>
      <c r="C1075" s="10"/>
      <c r="D1075" s="11"/>
      <c r="E1075" s="10"/>
      <c r="F1075" s="72" t="s">
        <v>40</v>
      </c>
      <c r="K1075" s="37"/>
      <c r="L1075" s="60"/>
      <c r="M1075" s="37"/>
      <c r="N1075" s="36"/>
      <c r="O1075" s="37"/>
      <c r="P1075" s="37"/>
      <c r="Q1075" s="39"/>
      <c r="R1075" s="59"/>
      <c r="S1075" s="37"/>
    </row>
    <row r="1076" spans="1:19" ht="15.75" thickBot="1" x14ac:dyDescent="0.3">
      <c r="A1076" s="6"/>
      <c r="B1076" s="36"/>
      <c r="C1076" s="37"/>
      <c r="D1076" s="38"/>
      <c r="E1076" s="37"/>
      <c r="F1076" s="7"/>
      <c r="K1076" s="37"/>
      <c r="L1076" s="60"/>
      <c r="M1076" s="37"/>
      <c r="N1076" s="36"/>
      <c r="O1076" s="37"/>
      <c r="P1076" s="37"/>
      <c r="Q1076" s="39"/>
      <c r="R1076" s="59"/>
      <c r="S1076" s="37"/>
    </row>
    <row r="1077" spans="1:19" ht="15.75" thickBot="1" x14ac:dyDescent="0.3">
      <c r="A1077" s="33" t="s">
        <v>179</v>
      </c>
      <c r="B1077" s="40" t="s">
        <v>47</v>
      </c>
      <c r="C1077" s="34" t="s">
        <v>15</v>
      </c>
      <c r="D1077" s="35" t="s">
        <v>16</v>
      </c>
      <c r="E1077" s="34" t="s">
        <v>17</v>
      </c>
      <c r="F1077" s="41" t="s">
        <v>18</v>
      </c>
      <c r="K1077" s="37"/>
      <c r="L1077" s="60"/>
      <c r="M1077" s="37"/>
      <c r="N1077" s="36"/>
      <c r="O1077" s="37"/>
      <c r="P1077" s="37"/>
      <c r="Q1077" s="39"/>
      <c r="R1077" s="59"/>
      <c r="S1077" s="37"/>
    </row>
    <row r="1078" spans="1:19" ht="15.75" thickBot="1" x14ac:dyDescent="0.3">
      <c r="A1078" s="6"/>
      <c r="B1078" s="36"/>
      <c r="C1078" s="37"/>
      <c r="D1078" s="38"/>
      <c r="E1078" s="37"/>
      <c r="F1078" s="7"/>
      <c r="K1078" s="37"/>
      <c r="L1078" s="60"/>
      <c r="M1078" s="37"/>
      <c r="N1078" s="36"/>
      <c r="O1078" s="37"/>
      <c r="P1078" s="37"/>
      <c r="Q1078" s="39"/>
      <c r="R1078" s="59"/>
      <c r="S1078" s="37"/>
    </row>
    <row r="1079" spans="1:19" ht="15.75" thickBot="1" x14ac:dyDescent="0.3">
      <c r="A1079" s="1" t="s">
        <v>19</v>
      </c>
      <c r="B1079" s="13"/>
      <c r="C1079" s="14"/>
      <c r="D1079" s="15"/>
      <c r="E1079" s="14"/>
      <c r="F1079" s="16"/>
      <c r="K1079" s="37"/>
      <c r="L1079" s="60"/>
      <c r="M1079" s="37"/>
      <c r="N1079" s="36"/>
      <c r="O1079" s="37"/>
      <c r="P1079" s="37"/>
      <c r="Q1079" s="39"/>
      <c r="R1079" s="59"/>
      <c r="S1079" s="37"/>
    </row>
    <row r="1080" spans="1:19" ht="25.5" customHeight="1" x14ac:dyDescent="0.25">
      <c r="A1080" s="95"/>
      <c r="B1080" s="96" t="s">
        <v>105</v>
      </c>
      <c r="C1080" s="97" t="s">
        <v>29</v>
      </c>
      <c r="D1080" s="20">
        <v>0.32</v>
      </c>
      <c r="E1080" s="183">
        <v>82333</v>
      </c>
      <c r="F1080" s="184">
        <f>ROUND(D1080*E1080,)</f>
        <v>26347</v>
      </c>
      <c r="K1080" s="37"/>
      <c r="L1080" s="60"/>
      <c r="M1080" s="37"/>
      <c r="N1080" s="36"/>
      <c r="O1080" s="37"/>
      <c r="P1080" s="37"/>
      <c r="Q1080" s="39"/>
      <c r="R1080" s="59"/>
      <c r="S1080" s="37"/>
    </row>
    <row r="1081" spans="1:19" ht="15.75" thickBot="1" x14ac:dyDescent="0.3">
      <c r="A1081" s="23"/>
      <c r="B1081" s="24"/>
      <c r="C1081" s="25"/>
      <c r="D1081" s="26"/>
      <c r="E1081" s="181"/>
      <c r="F1081" s="189">
        <f>ROUND(D1081*E1081,)</f>
        <v>0</v>
      </c>
      <c r="K1081" s="37"/>
      <c r="L1081" s="60"/>
      <c r="M1081" s="37"/>
      <c r="N1081" s="36"/>
      <c r="O1081" s="37"/>
      <c r="P1081" s="37"/>
      <c r="Q1081" s="39"/>
      <c r="R1081" s="59"/>
      <c r="S1081" s="37"/>
    </row>
    <row r="1082" spans="1:19" ht="15.75" thickBot="1" x14ac:dyDescent="0.3">
      <c r="A1082" s="6"/>
      <c r="B1082" s="36"/>
      <c r="C1082" s="37"/>
      <c r="D1082" s="38"/>
      <c r="E1082" s="39" t="s">
        <v>20</v>
      </c>
      <c r="F1082" s="187">
        <f>+F1080+F1081</f>
        <v>26347</v>
      </c>
      <c r="K1082" s="37"/>
      <c r="L1082" s="60"/>
      <c r="M1082" s="37"/>
      <c r="N1082" s="36"/>
      <c r="O1082" s="37"/>
      <c r="P1082" s="37"/>
      <c r="Q1082" s="39"/>
      <c r="R1082" s="59"/>
      <c r="S1082" s="37"/>
    </row>
    <row r="1083" spans="1:19" ht="15.75" thickBot="1" x14ac:dyDescent="0.3">
      <c r="A1083" s="6"/>
      <c r="B1083" s="36"/>
      <c r="C1083" s="37"/>
      <c r="D1083" s="38"/>
      <c r="E1083" s="37"/>
      <c r="F1083" s="7"/>
      <c r="K1083" s="37"/>
      <c r="L1083" s="60"/>
      <c r="M1083" s="37"/>
      <c r="N1083" s="36"/>
      <c r="O1083" s="37"/>
      <c r="P1083" s="37"/>
      <c r="Q1083" s="39"/>
      <c r="R1083" s="59"/>
      <c r="S1083" s="37"/>
    </row>
    <row r="1084" spans="1:19" ht="15.75" thickBot="1" x14ac:dyDescent="0.3">
      <c r="A1084" s="44" t="s">
        <v>21</v>
      </c>
      <c r="B1084" s="45"/>
      <c r="C1084" s="46"/>
      <c r="D1084" s="47"/>
      <c r="E1084" s="46"/>
      <c r="F1084" s="48"/>
      <c r="K1084" s="37"/>
      <c r="L1084" s="60"/>
      <c r="M1084" s="37"/>
      <c r="N1084" s="36"/>
      <c r="O1084" s="37"/>
      <c r="P1084" s="37"/>
      <c r="Q1084" s="39"/>
      <c r="R1084" s="59"/>
      <c r="S1084" s="37"/>
    </row>
    <row r="1085" spans="1:19" x14ac:dyDescent="0.25">
      <c r="A1085" s="122"/>
      <c r="B1085" s="87"/>
      <c r="C1085" s="88"/>
      <c r="D1085" s="123"/>
      <c r="E1085" s="182"/>
      <c r="F1085" s="210">
        <f t="shared" ref="F1085:F1087" si="69">ROUND(D1085*E1085,)</f>
        <v>0</v>
      </c>
      <c r="K1085" s="37"/>
      <c r="L1085" s="60"/>
      <c r="M1085" s="37"/>
      <c r="N1085" s="36"/>
      <c r="O1085" s="37"/>
      <c r="P1085" s="37"/>
      <c r="Q1085" s="39"/>
      <c r="R1085" s="59"/>
      <c r="S1085" s="37"/>
    </row>
    <row r="1086" spans="1:19" x14ac:dyDescent="0.25">
      <c r="A1086" s="108"/>
      <c r="B1086" s="43"/>
      <c r="C1086" s="82"/>
      <c r="D1086" s="115"/>
      <c r="E1086" s="180"/>
      <c r="F1086" s="196">
        <f t="shared" si="69"/>
        <v>0</v>
      </c>
      <c r="K1086" s="37"/>
      <c r="L1086" s="60"/>
      <c r="M1086" s="37"/>
      <c r="N1086" s="36"/>
      <c r="O1086" s="37"/>
      <c r="P1086" s="37"/>
      <c r="Q1086" s="39"/>
      <c r="R1086" s="59"/>
      <c r="S1086" s="37"/>
    </row>
    <row r="1087" spans="1:19" ht="15.75" thickBot="1" x14ac:dyDescent="0.3">
      <c r="A1087" s="23"/>
      <c r="B1087" s="24" t="s">
        <v>34</v>
      </c>
      <c r="C1087" s="25" t="s">
        <v>35</v>
      </c>
      <c r="D1087" s="26">
        <v>0.02</v>
      </c>
      <c r="E1087" s="192">
        <v>1700</v>
      </c>
      <c r="F1087" s="186">
        <f t="shared" si="69"/>
        <v>34</v>
      </c>
      <c r="K1087" s="37"/>
      <c r="L1087" s="60"/>
      <c r="M1087" s="37"/>
      <c r="N1087" s="36"/>
      <c r="O1087" s="37"/>
      <c r="P1087" s="37"/>
      <c r="Q1087" s="39"/>
      <c r="R1087" s="59"/>
      <c r="S1087" s="37"/>
    </row>
    <row r="1088" spans="1:19" ht="15.75" thickBot="1" x14ac:dyDescent="0.3">
      <c r="A1088" s="6"/>
      <c r="B1088" s="36"/>
      <c r="C1088" s="37"/>
      <c r="D1088" s="38"/>
      <c r="E1088" s="39" t="s">
        <v>22</v>
      </c>
      <c r="F1088" s="187">
        <f>SUM(F1085:F1087)</f>
        <v>34</v>
      </c>
      <c r="K1088" s="37"/>
      <c r="L1088" s="60"/>
      <c r="M1088" s="37"/>
      <c r="N1088" s="36"/>
      <c r="O1088" s="37"/>
      <c r="P1088" s="37"/>
      <c r="Q1088" s="39"/>
      <c r="R1088" s="59"/>
      <c r="S1088" s="37"/>
    </row>
    <row r="1089" spans="1:19" ht="15.75" thickBot="1" x14ac:dyDescent="0.3">
      <c r="A1089" s="6"/>
      <c r="B1089" s="36"/>
      <c r="C1089" s="37"/>
      <c r="D1089" s="38"/>
      <c r="E1089" s="37"/>
      <c r="F1089" s="7"/>
      <c r="K1089" s="37"/>
      <c r="L1089" s="60"/>
      <c r="M1089" s="37"/>
      <c r="N1089" s="36"/>
      <c r="O1089" s="37"/>
      <c r="P1089" s="37"/>
      <c r="Q1089" s="39"/>
      <c r="R1089" s="59"/>
      <c r="S1089" s="37"/>
    </row>
    <row r="1090" spans="1:19" ht="15.75" thickBot="1" x14ac:dyDescent="0.3">
      <c r="A1090" s="44" t="s">
        <v>23</v>
      </c>
      <c r="B1090" s="45"/>
      <c r="C1090" s="46"/>
      <c r="D1090" s="47"/>
      <c r="E1090" s="46"/>
      <c r="F1090" s="48"/>
      <c r="K1090" s="37"/>
      <c r="L1090" s="60"/>
      <c r="M1090" s="37"/>
      <c r="N1090" s="36"/>
      <c r="O1090" s="37"/>
      <c r="P1090" s="37"/>
      <c r="Q1090" s="39"/>
      <c r="R1090" s="59"/>
      <c r="S1090" s="37"/>
    </row>
    <row r="1091" spans="1:19" ht="45" x14ac:dyDescent="0.25">
      <c r="A1091" s="17"/>
      <c r="B1091" s="96" t="s">
        <v>233</v>
      </c>
      <c r="C1091" s="97" t="s">
        <v>40</v>
      </c>
      <c r="D1091" s="97">
        <v>1</v>
      </c>
      <c r="E1091" s="202">
        <v>122900</v>
      </c>
      <c r="F1091" s="214">
        <f>ROUND(D1091*E1091,)</f>
        <v>122900</v>
      </c>
      <c r="K1091" s="37"/>
      <c r="L1091" s="60"/>
      <c r="M1091" s="37"/>
      <c r="N1091" s="233"/>
      <c r="O1091" s="37"/>
      <c r="P1091" s="37"/>
      <c r="Q1091" s="39"/>
      <c r="R1091" s="59"/>
      <c r="S1091" s="37"/>
    </row>
    <row r="1092" spans="1:19" x14ac:dyDescent="0.25">
      <c r="A1092" s="92"/>
      <c r="B1092" s="170"/>
      <c r="C1092" s="142"/>
      <c r="D1092" s="179"/>
      <c r="E1092" s="226"/>
      <c r="F1092" s="188">
        <f>ROUND(D1092*E1092,)</f>
        <v>0</v>
      </c>
      <c r="K1092" s="37"/>
      <c r="L1092" s="60"/>
      <c r="M1092" s="37"/>
      <c r="N1092" s="36"/>
      <c r="O1092" s="37"/>
      <c r="P1092" s="37"/>
      <c r="Q1092" s="39"/>
      <c r="R1092" s="59"/>
      <c r="S1092" s="37"/>
    </row>
    <row r="1093" spans="1:19" x14ac:dyDescent="0.25">
      <c r="A1093" s="91"/>
      <c r="B1093" s="158"/>
      <c r="C1093" s="151"/>
      <c r="D1093" s="152"/>
      <c r="E1093" s="205"/>
      <c r="F1093" s="188">
        <f>ROUND(D1093*E1093,)</f>
        <v>0</v>
      </c>
      <c r="K1093" s="37"/>
      <c r="L1093" s="60"/>
      <c r="M1093" s="37"/>
      <c r="N1093" s="36"/>
      <c r="O1093" s="37"/>
      <c r="P1093" s="37"/>
      <c r="Q1093" s="39"/>
      <c r="R1093" s="59"/>
      <c r="S1093" s="37"/>
    </row>
    <row r="1094" spans="1:19" ht="15.75" thickBot="1" x14ac:dyDescent="0.3">
      <c r="A1094" s="30"/>
      <c r="B1094" s="24"/>
      <c r="C1094" s="25"/>
      <c r="D1094" s="172"/>
      <c r="E1094" s="208"/>
      <c r="F1094" s="186"/>
      <c r="K1094" s="37"/>
      <c r="L1094" s="60"/>
      <c r="M1094" s="37"/>
      <c r="N1094" s="36"/>
      <c r="O1094" s="37"/>
      <c r="P1094" s="37"/>
      <c r="Q1094" s="39"/>
      <c r="R1094" s="59"/>
      <c r="S1094" s="37"/>
    </row>
    <row r="1095" spans="1:19" ht="15.75" thickBot="1" x14ac:dyDescent="0.3">
      <c r="A1095" s="6"/>
      <c r="B1095" s="50"/>
      <c r="C1095" s="61"/>
      <c r="D1095" s="37"/>
      <c r="E1095" s="39" t="s">
        <v>24</v>
      </c>
      <c r="F1095" s="187">
        <f>SUM(F1091:F1094)</f>
        <v>122900</v>
      </c>
      <c r="K1095" s="37"/>
      <c r="L1095" s="60"/>
      <c r="M1095" s="37"/>
      <c r="N1095" s="36"/>
      <c r="O1095" s="37"/>
      <c r="P1095" s="37"/>
      <c r="Q1095" s="39"/>
      <c r="R1095" s="59"/>
      <c r="S1095" s="37"/>
    </row>
    <row r="1096" spans="1:19" ht="15.75" thickBot="1" x14ac:dyDescent="0.3">
      <c r="A1096" s="155"/>
      <c r="B1096" s="9"/>
      <c r="C1096" s="156"/>
      <c r="D1096" s="10"/>
      <c r="E1096" s="39"/>
      <c r="F1096" s="212"/>
      <c r="K1096" s="37"/>
      <c r="L1096" s="60"/>
      <c r="M1096" s="37"/>
      <c r="N1096" s="36"/>
      <c r="O1096" s="37"/>
      <c r="P1096" s="37"/>
      <c r="Q1096" s="39"/>
      <c r="R1096" s="59"/>
      <c r="S1096" s="37"/>
    </row>
    <row r="1097" spans="1:19" ht="15.75" thickBot="1" x14ac:dyDescent="0.3">
      <c r="A1097" s="69" t="s">
        <v>12</v>
      </c>
      <c r="B1097" s="64" t="s">
        <v>25</v>
      </c>
      <c r="C1097" s="65"/>
      <c r="D1097" s="66"/>
      <c r="E1097" s="67"/>
      <c r="F1097" s="352">
        <f>+F1095+F1088+F1082</f>
        <v>149281</v>
      </c>
      <c r="H1097" s="126"/>
      <c r="K1097" s="37"/>
      <c r="L1097" s="60"/>
      <c r="M1097" s="37"/>
      <c r="N1097" s="36"/>
      <c r="O1097" s="37"/>
      <c r="P1097" s="37"/>
      <c r="Q1097" s="39"/>
      <c r="R1097" s="59"/>
      <c r="S1097" s="37"/>
    </row>
    <row r="1098" spans="1:19" ht="54" customHeight="1" x14ac:dyDescent="0.25">
      <c r="A1098" s="1" t="s">
        <v>47</v>
      </c>
      <c r="B1098" s="355" t="s">
        <v>155</v>
      </c>
      <c r="C1098" s="355"/>
      <c r="D1098" s="355"/>
      <c r="E1098" s="3"/>
      <c r="F1098" s="146" t="s">
        <v>15</v>
      </c>
      <c r="K1098" s="37"/>
      <c r="L1098" s="60"/>
      <c r="M1098" s="37"/>
      <c r="N1098" s="36"/>
      <c r="O1098" s="37"/>
      <c r="P1098" s="37"/>
      <c r="Q1098" s="39"/>
      <c r="R1098" s="59"/>
      <c r="S1098" s="37"/>
    </row>
    <row r="1099" spans="1:19" ht="15.75" thickBot="1" x14ac:dyDescent="0.3">
      <c r="A1099" s="70" t="s">
        <v>9</v>
      </c>
      <c r="B1099" s="71">
        <v>4.2</v>
      </c>
      <c r="C1099" s="10"/>
      <c r="D1099" s="11"/>
      <c r="E1099" s="10"/>
      <c r="F1099" s="72" t="s">
        <v>40</v>
      </c>
      <c r="K1099" s="37"/>
      <c r="L1099" s="60"/>
      <c r="M1099" s="37"/>
      <c r="N1099" s="36"/>
      <c r="O1099" s="37"/>
      <c r="P1099" s="37"/>
      <c r="Q1099" s="39"/>
      <c r="R1099" s="59"/>
      <c r="S1099" s="37"/>
    </row>
    <row r="1100" spans="1:19" ht="15.75" thickBot="1" x14ac:dyDescent="0.3">
      <c r="A1100" s="6"/>
      <c r="B1100" s="36"/>
      <c r="C1100" s="37"/>
      <c r="D1100" s="38"/>
      <c r="E1100" s="37"/>
      <c r="F1100" s="7"/>
      <c r="K1100" s="37"/>
      <c r="L1100" s="60"/>
      <c r="M1100" s="37"/>
      <c r="N1100" s="36"/>
      <c r="O1100" s="37"/>
      <c r="P1100" s="37"/>
      <c r="Q1100" s="39"/>
      <c r="R1100" s="59"/>
      <c r="S1100" s="37"/>
    </row>
    <row r="1101" spans="1:19" ht="15.75" thickBot="1" x14ac:dyDescent="0.3">
      <c r="A1101" s="33" t="s">
        <v>179</v>
      </c>
      <c r="B1101" s="40" t="s">
        <v>47</v>
      </c>
      <c r="C1101" s="34" t="s">
        <v>15</v>
      </c>
      <c r="D1101" s="35" t="s">
        <v>16</v>
      </c>
      <c r="E1101" s="34" t="s">
        <v>17</v>
      </c>
      <c r="F1101" s="41" t="s">
        <v>18</v>
      </c>
      <c r="K1101" s="37"/>
      <c r="L1101" s="60"/>
      <c r="M1101" s="37"/>
      <c r="N1101" s="36"/>
      <c r="O1101" s="37"/>
      <c r="P1101" s="37"/>
      <c r="Q1101" s="39"/>
      <c r="R1101" s="59"/>
      <c r="S1101" s="37"/>
    </row>
    <row r="1102" spans="1:19" ht="15.75" thickBot="1" x14ac:dyDescent="0.3">
      <c r="A1102" s="6"/>
      <c r="B1102" s="36"/>
      <c r="C1102" s="37"/>
      <c r="D1102" s="38"/>
      <c r="E1102" s="37"/>
      <c r="F1102" s="7"/>
      <c r="K1102" s="37"/>
      <c r="L1102" s="60"/>
      <c r="M1102" s="37"/>
      <c r="N1102" s="36"/>
      <c r="O1102" s="37"/>
      <c r="P1102" s="37"/>
      <c r="Q1102" s="39"/>
      <c r="R1102" s="59"/>
      <c r="S1102" s="37"/>
    </row>
    <row r="1103" spans="1:19" ht="15.75" thickBot="1" x14ac:dyDescent="0.3">
      <c r="A1103" s="1" t="s">
        <v>19</v>
      </c>
      <c r="B1103" s="13"/>
      <c r="C1103" s="14"/>
      <c r="D1103" s="15"/>
      <c r="E1103" s="14"/>
      <c r="F1103" s="16"/>
      <c r="K1103" s="37"/>
      <c r="L1103" s="60"/>
      <c r="M1103" s="37"/>
      <c r="N1103" s="36"/>
      <c r="O1103" s="37"/>
      <c r="P1103" s="37"/>
      <c r="Q1103" s="39"/>
      <c r="R1103" s="59"/>
      <c r="S1103" s="37"/>
    </row>
    <row r="1104" spans="1:19" ht="31.5" customHeight="1" x14ac:dyDescent="0.25">
      <c r="A1104" s="95"/>
      <c r="B1104" s="96" t="s">
        <v>105</v>
      </c>
      <c r="C1104" s="97" t="s">
        <v>29</v>
      </c>
      <c r="D1104" s="20">
        <v>0.25</v>
      </c>
      <c r="E1104" s="183">
        <v>82333</v>
      </c>
      <c r="F1104" s="184">
        <f>ROUND(D1104*E1104,)</f>
        <v>20583</v>
      </c>
      <c r="K1104" s="37"/>
      <c r="L1104" s="60"/>
      <c r="M1104" s="37"/>
      <c r="N1104" s="36"/>
      <c r="O1104" s="37"/>
      <c r="P1104" s="37"/>
      <c r="Q1104" s="39"/>
      <c r="R1104" s="59"/>
      <c r="S1104" s="37"/>
    </row>
    <row r="1105" spans="1:19" ht="15.75" thickBot="1" x14ac:dyDescent="0.3">
      <c r="A1105" s="23"/>
      <c r="B1105" s="24"/>
      <c r="C1105" s="25"/>
      <c r="D1105" s="26"/>
      <c r="E1105" s="181"/>
      <c r="F1105" s="189">
        <f>ROUND(D1105*E1105,)</f>
        <v>0</v>
      </c>
      <c r="K1105" s="37"/>
      <c r="L1105" s="60"/>
      <c r="M1105" s="37"/>
      <c r="N1105" s="36"/>
      <c r="O1105" s="37"/>
      <c r="P1105" s="37"/>
      <c r="Q1105" s="39"/>
      <c r="R1105" s="59"/>
      <c r="S1105" s="37"/>
    </row>
    <row r="1106" spans="1:19" ht="15.75" thickBot="1" x14ac:dyDescent="0.3">
      <c r="A1106" s="6"/>
      <c r="B1106" s="36"/>
      <c r="C1106" s="37"/>
      <c r="D1106" s="38"/>
      <c r="E1106" s="39" t="s">
        <v>20</v>
      </c>
      <c r="F1106" s="187">
        <f>+F1104+F1105</f>
        <v>20583</v>
      </c>
      <c r="K1106" s="37"/>
      <c r="L1106" s="60"/>
      <c r="M1106" s="37"/>
      <c r="N1106" s="36"/>
      <c r="O1106" s="37"/>
      <c r="P1106" s="37"/>
      <c r="Q1106" s="39"/>
      <c r="R1106" s="59"/>
      <c r="S1106" s="37"/>
    </row>
    <row r="1107" spans="1:19" ht="15.75" thickBot="1" x14ac:dyDescent="0.3">
      <c r="A1107" s="6"/>
      <c r="B1107" s="36"/>
      <c r="C1107" s="37"/>
      <c r="D1107" s="38"/>
      <c r="E1107" s="37"/>
      <c r="F1107" s="7"/>
      <c r="K1107" s="37"/>
      <c r="L1107" s="60"/>
      <c r="M1107" s="37"/>
      <c r="N1107" s="36"/>
      <c r="O1107" s="37"/>
      <c r="P1107" s="37"/>
      <c r="Q1107" s="39"/>
      <c r="R1107" s="59"/>
      <c r="S1107" s="37"/>
    </row>
    <row r="1108" spans="1:19" ht="15.75" thickBot="1" x14ac:dyDescent="0.3">
      <c r="A1108" s="44" t="s">
        <v>21</v>
      </c>
      <c r="B1108" s="45"/>
      <c r="C1108" s="46"/>
      <c r="D1108" s="47"/>
      <c r="E1108" s="46"/>
      <c r="F1108" s="48"/>
      <c r="K1108" s="37"/>
      <c r="L1108" s="60"/>
      <c r="M1108" s="37"/>
      <c r="N1108" s="36"/>
      <c r="O1108" s="37"/>
      <c r="P1108" s="37"/>
      <c r="Q1108" s="39"/>
      <c r="R1108" s="59"/>
      <c r="S1108" s="37"/>
    </row>
    <row r="1109" spans="1:19" x14ac:dyDescent="0.25">
      <c r="A1109" s="122"/>
      <c r="B1109" s="87"/>
      <c r="C1109" s="88"/>
      <c r="D1109" s="123"/>
      <c r="E1109" s="182"/>
      <c r="F1109" s="210">
        <f t="shared" ref="F1109:F1111" si="70">ROUND(D1109*E1109,)</f>
        <v>0</v>
      </c>
      <c r="K1109" s="37"/>
      <c r="L1109" s="60"/>
      <c r="M1109" s="37"/>
      <c r="N1109" s="36"/>
      <c r="O1109" s="37"/>
      <c r="P1109" s="37"/>
      <c r="Q1109" s="39"/>
      <c r="R1109" s="59"/>
      <c r="S1109" s="37"/>
    </row>
    <row r="1110" spans="1:19" x14ac:dyDescent="0.25">
      <c r="A1110" s="108"/>
      <c r="B1110" s="43"/>
      <c r="C1110" s="82"/>
      <c r="D1110" s="115"/>
      <c r="E1110" s="180"/>
      <c r="F1110" s="196">
        <f t="shared" si="70"/>
        <v>0</v>
      </c>
      <c r="K1110" s="37"/>
      <c r="L1110" s="60"/>
      <c r="M1110" s="37"/>
      <c r="N1110" s="36"/>
      <c r="O1110" s="37"/>
      <c r="P1110" s="37"/>
      <c r="Q1110" s="39"/>
      <c r="R1110" s="59"/>
      <c r="S1110" s="37"/>
    </row>
    <row r="1111" spans="1:19" ht="15.75" thickBot="1" x14ac:dyDescent="0.3">
      <c r="A1111" s="23"/>
      <c r="B1111" s="24" t="s">
        <v>34</v>
      </c>
      <c r="C1111" s="25" t="s">
        <v>35</v>
      </c>
      <c r="D1111" s="26">
        <v>0.02</v>
      </c>
      <c r="E1111" s="192">
        <v>1700</v>
      </c>
      <c r="F1111" s="186">
        <f t="shared" si="70"/>
        <v>34</v>
      </c>
      <c r="K1111" s="37"/>
      <c r="L1111" s="60"/>
      <c r="M1111" s="37"/>
      <c r="N1111" s="36"/>
      <c r="O1111" s="37"/>
      <c r="P1111" s="37"/>
      <c r="Q1111" s="39"/>
      <c r="R1111" s="59"/>
      <c r="S1111" s="37"/>
    </row>
    <row r="1112" spans="1:19" ht="15.75" thickBot="1" x14ac:dyDescent="0.3">
      <c r="A1112" s="6"/>
      <c r="B1112" s="36"/>
      <c r="C1112" s="37"/>
      <c r="D1112" s="38"/>
      <c r="E1112" s="39" t="s">
        <v>22</v>
      </c>
      <c r="F1112" s="187">
        <f>SUM(F1109:F1111)</f>
        <v>34</v>
      </c>
      <c r="K1112" s="37"/>
      <c r="L1112" s="60"/>
      <c r="M1112" s="37"/>
      <c r="N1112" s="36"/>
      <c r="O1112" s="37"/>
      <c r="P1112" s="37"/>
      <c r="Q1112" s="39"/>
      <c r="R1112" s="59"/>
      <c r="S1112" s="37"/>
    </row>
    <row r="1113" spans="1:19" ht="15.75" thickBot="1" x14ac:dyDescent="0.3">
      <c r="A1113" s="6"/>
      <c r="B1113" s="36"/>
      <c r="C1113" s="37"/>
      <c r="D1113" s="38"/>
      <c r="E1113" s="37"/>
      <c r="F1113" s="7"/>
      <c r="K1113" s="37"/>
      <c r="L1113" s="60"/>
      <c r="M1113" s="37"/>
      <c r="N1113" s="36"/>
      <c r="O1113" s="37"/>
      <c r="P1113" s="37"/>
      <c r="Q1113" s="39"/>
      <c r="R1113" s="59"/>
      <c r="S1113" s="37"/>
    </row>
    <row r="1114" spans="1:19" ht="15.75" thickBot="1" x14ac:dyDescent="0.3">
      <c r="A1114" s="44" t="s">
        <v>23</v>
      </c>
      <c r="B1114" s="45"/>
      <c r="C1114" s="46"/>
      <c r="D1114" s="47"/>
      <c r="E1114" s="46"/>
      <c r="F1114" s="48"/>
      <c r="K1114" s="37"/>
      <c r="L1114" s="60"/>
      <c r="M1114" s="37"/>
      <c r="N1114" s="36"/>
      <c r="O1114" s="37"/>
      <c r="P1114" s="37"/>
      <c r="Q1114" s="39"/>
      <c r="R1114" s="59"/>
      <c r="S1114" s="37"/>
    </row>
    <row r="1115" spans="1:19" ht="30" x14ac:dyDescent="0.25">
      <c r="A1115" s="17"/>
      <c r="B1115" s="96" t="s">
        <v>143</v>
      </c>
      <c r="C1115" s="97" t="s">
        <v>40</v>
      </c>
      <c r="D1115" s="20">
        <v>1</v>
      </c>
      <c r="E1115" s="202">
        <v>34900</v>
      </c>
      <c r="F1115" s="214">
        <f>ROUND(D1115*E1115,)</f>
        <v>34900</v>
      </c>
      <c r="K1115" s="37"/>
      <c r="L1115" s="60"/>
      <c r="M1115" s="37"/>
      <c r="N1115" s="233"/>
      <c r="O1115" s="37"/>
      <c r="P1115" s="37"/>
      <c r="Q1115" s="39"/>
      <c r="R1115" s="59"/>
      <c r="S1115" s="37"/>
    </row>
    <row r="1116" spans="1:19" x14ac:dyDescent="0.25">
      <c r="A1116" s="92"/>
      <c r="B1116" s="170"/>
      <c r="C1116" s="142"/>
      <c r="D1116" s="179"/>
      <c r="E1116" s="226"/>
      <c r="F1116" s="188">
        <f>ROUND(D1116*E1116,)</f>
        <v>0</v>
      </c>
      <c r="K1116" s="37"/>
      <c r="L1116" s="60"/>
      <c r="M1116" s="37"/>
      <c r="N1116" s="36"/>
      <c r="O1116" s="37"/>
      <c r="P1116" s="37"/>
      <c r="Q1116" s="39"/>
      <c r="R1116" s="59"/>
      <c r="S1116" s="37"/>
    </row>
    <row r="1117" spans="1:19" x14ac:dyDescent="0.25">
      <c r="A1117" s="91"/>
      <c r="B1117" s="158"/>
      <c r="C1117" s="151"/>
      <c r="D1117" s="152"/>
      <c r="E1117" s="205"/>
      <c r="F1117" s="188">
        <f>ROUND(D1117*E1117,)</f>
        <v>0</v>
      </c>
      <c r="K1117" s="37"/>
      <c r="L1117" s="60"/>
      <c r="M1117" s="37"/>
      <c r="N1117" s="36"/>
      <c r="O1117" s="37"/>
      <c r="P1117" s="37"/>
      <c r="Q1117" s="39"/>
      <c r="R1117" s="59"/>
      <c r="S1117" s="37"/>
    </row>
    <row r="1118" spans="1:19" ht="15.75" thickBot="1" x14ac:dyDescent="0.3">
      <c r="A1118" s="30"/>
      <c r="B1118" s="24"/>
      <c r="C1118" s="25"/>
      <c r="D1118" s="172"/>
      <c r="E1118" s="208"/>
      <c r="F1118" s="186"/>
      <c r="K1118" s="37"/>
      <c r="L1118" s="60"/>
      <c r="M1118" s="37"/>
      <c r="N1118" s="36"/>
      <c r="O1118" s="37"/>
      <c r="P1118" s="37"/>
      <c r="Q1118" s="39"/>
      <c r="R1118" s="59"/>
      <c r="S1118" s="37"/>
    </row>
    <row r="1119" spans="1:19" ht="15.75" thickBot="1" x14ac:dyDescent="0.3">
      <c r="A1119" s="6"/>
      <c r="B1119" s="50"/>
      <c r="C1119" s="61"/>
      <c r="D1119" s="37"/>
      <c r="E1119" s="39" t="s">
        <v>24</v>
      </c>
      <c r="F1119" s="187">
        <f>SUM(F1115:F1118)</f>
        <v>34900</v>
      </c>
      <c r="K1119" s="37"/>
      <c r="L1119" s="60"/>
      <c r="M1119" s="37"/>
      <c r="N1119" s="36"/>
      <c r="O1119" s="37"/>
      <c r="P1119" s="37"/>
      <c r="Q1119" s="39"/>
      <c r="R1119" s="59"/>
      <c r="S1119" s="37"/>
    </row>
    <row r="1120" spans="1:19" ht="15.75" thickBot="1" x14ac:dyDescent="0.3">
      <c r="A1120" s="155"/>
      <c r="B1120" s="9"/>
      <c r="C1120" s="156"/>
      <c r="D1120" s="10"/>
      <c r="E1120" s="39"/>
      <c r="F1120" s="212"/>
      <c r="K1120" s="37"/>
      <c r="L1120" s="60"/>
      <c r="M1120" s="37"/>
      <c r="N1120" s="36"/>
      <c r="O1120" s="37"/>
      <c r="P1120" s="37"/>
      <c r="Q1120" s="39"/>
      <c r="R1120" s="59"/>
      <c r="S1120" s="37"/>
    </row>
    <row r="1121" spans="1:19" ht="15.75" thickBot="1" x14ac:dyDescent="0.3">
      <c r="A1121" s="69" t="s">
        <v>12</v>
      </c>
      <c r="B1121" s="64" t="s">
        <v>25</v>
      </c>
      <c r="C1121" s="65"/>
      <c r="D1121" s="66"/>
      <c r="E1121" s="67"/>
      <c r="F1121" s="352">
        <f>+F1119+F1112+F1106</f>
        <v>55517</v>
      </c>
      <c r="H1121" s="126"/>
      <c r="K1121" s="37"/>
      <c r="L1121" s="60"/>
      <c r="M1121" s="37"/>
      <c r="N1121" s="36"/>
      <c r="O1121" s="37"/>
      <c r="P1121" s="37"/>
      <c r="Q1121" s="39"/>
      <c r="R1121" s="59"/>
      <c r="S1121" s="37"/>
    </row>
    <row r="1122" spans="1:19" x14ac:dyDescent="0.25">
      <c r="K1122" s="37"/>
      <c r="L1122" s="60"/>
      <c r="M1122" s="37"/>
      <c r="N1122" s="36"/>
      <c r="O1122" s="37"/>
      <c r="P1122" s="37"/>
      <c r="Q1122" s="39"/>
      <c r="R1122" s="59"/>
      <c r="S1122" s="37"/>
    </row>
    <row r="1123" spans="1:19" ht="15.75" thickBot="1" x14ac:dyDescent="0.3"/>
    <row r="1124" spans="1:19" x14ac:dyDescent="0.25">
      <c r="A1124" s="1" t="s">
        <v>47</v>
      </c>
      <c r="B1124" s="356" t="s">
        <v>57</v>
      </c>
      <c r="C1124" s="356"/>
      <c r="D1124" s="356"/>
      <c r="E1124" s="258" t="s">
        <v>121</v>
      </c>
      <c r="F1124" s="146" t="s">
        <v>15</v>
      </c>
    </row>
    <row r="1125" spans="1:19" ht="15.75" thickBot="1" x14ac:dyDescent="0.3">
      <c r="A1125" s="70" t="s">
        <v>9</v>
      </c>
      <c r="B1125" s="71">
        <v>5.0999999999999996</v>
      </c>
      <c r="C1125" s="10"/>
      <c r="D1125" s="11"/>
      <c r="E1125" s="10"/>
      <c r="F1125" s="145" t="s">
        <v>33</v>
      </c>
    </row>
    <row r="1126" spans="1:19" ht="15.75" thickBot="1" x14ac:dyDescent="0.3">
      <c r="A1126" s="8"/>
      <c r="B1126" s="9"/>
      <c r="C1126" s="10"/>
      <c r="D1126" s="11"/>
      <c r="E1126" s="10"/>
      <c r="F1126" s="12"/>
    </row>
    <row r="1127" spans="1:19" ht="15.75" thickBot="1" x14ac:dyDescent="0.3">
      <c r="A1127" s="33" t="s">
        <v>179</v>
      </c>
      <c r="B1127" s="40" t="s">
        <v>47</v>
      </c>
      <c r="C1127" s="34" t="s">
        <v>15</v>
      </c>
      <c r="D1127" s="35" t="s">
        <v>16</v>
      </c>
      <c r="E1127" s="34" t="s">
        <v>17</v>
      </c>
      <c r="F1127" s="41" t="s">
        <v>18</v>
      </c>
    </row>
    <row r="1128" spans="1:19" ht="15.75" thickBot="1" x14ac:dyDescent="0.3">
      <c r="A1128" s="6"/>
      <c r="B1128" s="36"/>
      <c r="C1128" s="37"/>
      <c r="D1128" s="38"/>
      <c r="E1128" s="37"/>
      <c r="F1128" s="7"/>
    </row>
    <row r="1129" spans="1:19" ht="15.75" thickBot="1" x14ac:dyDescent="0.3">
      <c r="A1129" s="1" t="s">
        <v>19</v>
      </c>
      <c r="B1129" s="13"/>
      <c r="C1129" s="14"/>
      <c r="D1129" s="15"/>
      <c r="E1129" s="14"/>
      <c r="F1129" s="16"/>
    </row>
    <row r="1130" spans="1:19" ht="30" x14ac:dyDescent="0.25">
      <c r="A1130" s="103"/>
      <c r="B1130" s="96" t="s">
        <v>30</v>
      </c>
      <c r="C1130" s="97" t="s">
        <v>29</v>
      </c>
      <c r="D1130" s="20">
        <v>0.06</v>
      </c>
      <c r="E1130" s="183">
        <v>214067</v>
      </c>
      <c r="F1130" s="184">
        <f>ROUND(D1130*E1130,)</f>
        <v>12844</v>
      </c>
    </row>
    <row r="1131" spans="1:19" ht="15.75" thickBot="1" x14ac:dyDescent="0.3">
      <c r="A1131" s="77"/>
      <c r="B1131" s="78" t="s">
        <v>98</v>
      </c>
      <c r="C1131" s="79" t="s">
        <v>29</v>
      </c>
      <c r="D1131" s="80">
        <v>0.05</v>
      </c>
      <c r="E1131" s="192">
        <v>172900</v>
      </c>
      <c r="F1131" s="189">
        <f>ROUND(D1131*E1131,)</f>
        <v>8645</v>
      </c>
    </row>
    <row r="1132" spans="1:19" ht="15.75" thickBot="1" x14ac:dyDescent="0.3">
      <c r="A1132" s="6"/>
      <c r="B1132" s="36"/>
      <c r="C1132" s="37"/>
      <c r="D1132" s="38"/>
      <c r="E1132" s="39" t="s">
        <v>20</v>
      </c>
      <c r="F1132" s="187">
        <f>SUM(F1130:F1131)</f>
        <v>21489</v>
      </c>
    </row>
    <row r="1133" spans="1:19" ht="15.75" thickBot="1" x14ac:dyDescent="0.3">
      <c r="A1133" s="6"/>
      <c r="B1133" s="36"/>
      <c r="C1133" s="37"/>
      <c r="D1133" s="38"/>
      <c r="E1133" s="37"/>
      <c r="F1133" s="7"/>
    </row>
    <row r="1134" spans="1:19" ht="15.75" thickBot="1" x14ac:dyDescent="0.3">
      <c r="A1134" s="1" t="s">
        <v>21</v>
      </c>
      <c r="B1134" s="13"/>
      <c r="C1134" s="14"/>
      <c r="D1134" s="15"/>
      <c r="E1134" s="14"/>
      <c r="F1134" s="16"/>
    </row>
    <row r="1135" spans="1:19" x14ac:dyDescent="0.25">
      <c r="A1135" s="103"/>
      <c r="B1135" s="96" t="s">
        <v>34</v>
      </c>
      <c r="C1135" s="97" t="s">
        <v>35</v>
      </c>
      <c r="D1135" s="20">
        <v>1.5</v>
      </c>
      <c r="E1135" s="183">
        <v>2210</v>
      </c>
      <c r="F1135" s="184">
        <f t="shared" ref="F1135:F1138" si="71">ROUND(D1135*E1135,)</f>
        <v>3315</v>
      </c>
    </row>
    <row r="1136" spans="1:19" ht="30" x14ac:dyDescent="0.25">
      <c r="A1136" s="108"/>
      <c r="B1136" s="236" t="s">
        <v>209</v>
      </c>
      <c r="C1136" s="237" t="s">
        <v>37</v>
      </c>
      <c r="D1136" s="123">
        <v>0.8</v>
      </c>
      <c r="E1136" s="182">
        <v>1560</v>
      </c>
      <c r="F1136" s="185">
        <f t="shared" si="71"/>
        <v>1248</v>
      </c>
    </row>
    <row r="1137" spans="1:15" ht="30" x14ac:dyDescent="0.25">
      <c r="A1137" s="122"/>
      <c r="B1137" s="85" t="s">
        <v>211</v>
      </c>
      <c r="C1137" s="86" t="s">
        <v>40</v>
      </c>
      <c r="D1137" s="83">
        <v>0.8</v>
      </c>
      <c r="E1137" s="180">
        <v>1560</v>
      </c>
      <c r="F1137" s="185">
        <f t="shared" si="71"/>
        <v>1248</v>
      </c>
    </row>
    <row r="1138" spans="1:15" ht="15.75" thickBot="1" x14ac:dyDescent="0.3">
      <c r="A1138" s="77"/>
      <c r="B1138" s="24" t="s">
        <v>36</v>
      </c>
      <c r="C1138" s="25" t="s">
        <v>37</v>
      </c>
      <c r="D1138" s="26">
        <v>0.8</v>
      </c>
      <c r="E1138" s="181">
        <v>156</v>
      </c>
      <c r="F1138" s="186">
        <f t="shared" si="71"/>
        <v>125</v>
      </c>
    </row>
    <row r="1139" spans="1:15" ht="15.75" thickBot="1" x14ac:dyDescent="0.3">
      <c r="A1139" s="6"/>
      <c r="B1139" s="36"/>
      <c r="C1139" s="37"/>
      <c r="D1139" s="38"/>
      <c r="E1139" s="39" t="s">
        <v>22</v>
      </c>
      <c r="F1139" s="187">
        <f>SUM(F1135:F1138)</f>
        <v>5936</v>
      </c>
    </row>
    <row r="1140" spans="1:15" ht="15.75" thickBot="1" x14ac:dyDescent="0.3">
      <c r="A1140" s="6"/>
      <c r="B1140" s="36"/>
      <c r="C1140" s="37"/>
      <c r="D1140" s="38"/>
      <c r="E1140" s="37"/>
      <c r="F1140" s="7"/>
    </row>
    <row r="1141" spans="1:15" ht="15.75" thickBot="1" x14ac:dyDescent="0.3">
      <c r="A1141" s="44" t="s">
        <v>23</v>
      </c>
      <c r="B1141" s="45"/>
      <c r="C1141" s="46"/>
      <c r="D1141" s="47"/>
      <c r="E1141" s="46"/>
      <c r="F1141" s="48"/>
    </row>
    <row r="1142" spans="1:15" x14ac:dyDescent="0.25">
      <c r="A1142" s="92"/>
      <c r="B1142" s="93"/>
      <c r="C1142" s="94"/>
      <c r="D1142" s="234"/>
      <c r="E1142" s="182"/>
      <c r="F1142" s="188">
        <f t="shared" ref="F1142:F1143" si="72">ROUND(D1142*E1142,)</f>
        <v>0</v>
      </c>
    </row>
    <row r="1143" spans="1:15" ht="15.75" thickBot="1" x14ac:dyDescent="0.3">
      <c r="A1143" s="30"/>
      <c r="B1143" s="24"/>
      <c r="C1143" s="25"/>
      <c r="D1143" s="102"/>
      <c r="E1143" s="181"/>
      <c r="F1143" s="186">
        <f t="shared" si="72"/>
        <v>0</v>
      </c>
    </row>
    <row r="1144" spans="1:15" ht="15.75" thickBot="1" x14ac:dyDescent="0.3">
      <c r="A1144" s="6"/>
      <c r="B1144" s="36"/>
      <c r="C1144" s="37"/>
      <c r="D1144" s="38"/>
      <c r="E1144" s="39" t="s">
        <v>24</v>
      </c>
      <c r="F1144" s="187">
        <f>SUM(F1142:F1143)</f>
        <v>0</v>
      </c>
    </row>
    <row r="1145" spans="1:15" ht="15.75" thickBot="1" x14ac:dyDescent="0.3">
      <c r="A1145" s="6"/>
      <c r="B1145" s="36"/>
      <c r="C1145" s="37"/>
      <c r="D1145" s="38"/>
      <c r="E1145" s="37"/>
      <c r="F1145" s="7"/>
    </row>
    <row r="1146" spans="1:15" ht="15.75" thickBot="1" x14ac:dyDescent="0.3">
      <c r="A1146" s="69" t="s">
        <v>12</v>
      </c>
      <c r="B1146" s="64" t="s">
        <v>25</v>
      </c>
      <c r="C1146" s="65"/>
      <c r="D1146" s="66"/>
      <c r="E1146" s="67"/>
      <c r="F1146" s="351">
        <f>+F1144+F1139+F1132</f>
        <v>27425</v>
      </c>
      <c r="H1146" s="126"/>
    </row>
    <row r="1147" spans="1:15" ht="15.75" thickBot="1" x14ac:dyDescent="0.3"/>
    <row r="1148" spans="1:15" ht="28.5" customHeight="1" x14ac:dyDescent="0.25">
      <c r="A1148" s="1" t="s">
        <v>47</v>
      </c>
      <c r="B1148" s="355" t="s">
        <v>122</v>
      </c>
      <c r="C1148" s="355"/>
      <c r="D1148" s="355"/>
      <c r="E1148" s="258" t="s">
        <v>121</v>
      </c>
      <c r="F1148" s="5" t="s">
        <v>15</v>
      </c>
      <c r="J1148" s="39"/>
      <c r="K1148" s="360"/>
      <c r="L1148" s="360"/>
      <c r="M1148" s="360"/>
      <c r="N1148" s="37"/>
      <c r="O1148" s="49"/>
    </row>
    <row r="1149" spans="1:15" ht="15.75" thickBot="1" x14ac:dyDescent="0.3">
      <c r="A1149" s="70" t="s">
        <v>9</v>
      </c>
      <c r="B1149" s="71">
        <v>5.2</v>
      </c>
      <c r="C1149" s="10"/>
      <c r="D1149" s="11"/>
      <c r="E1149" s="10"/>
      <c r="F1149" s="72" t="s">
        <v>26</v>
      </c>
      <c r="J1149" s="174"/>
      <c r="K1149" s="255"/>
      <c r="L1149" s="37"/>
      <c r="M1149" s="38"/>
      <c r="N1149" s="37"/>
      <c r="O1149" s="57"/>
    </row>
    <row r="1150" spans="1:15" ht="15.75" thickBot="1" x14ac:dyDescent="0.3">
      <c r="A1150" s="6"/>
      <c r="B1150" s="73"/>
      <c r="D1150" s="256"/>
      <c r="F1150" s="7"/>
      <c r="J1150" s="37"/>
      <c r="K1150" s="36"/>
      <c r="L1150" s="37"/>
      <c r="M1150" s="38"/>
      <c r="N1150" s="37"/>
      <c r="O1150" s="37"/>
    </row>
    <row r="1151" spans="1:15" ht="15.75" thickBot="1" x14ac:dyDescent="0.3">
      <c r="A1151" s="33" t="s">
        <v>179</v>
      </c>
      <c r="B1151" s="40" t="s">
        <v>47</v>
      </c>
      <c r="C1151" s="34" t="s">
        <v>15</v>
      </c>
      <c r="D1151" s="35" t="s">
        <v>16</v>
      </c>
      <c r="E1151" s="34" t="s">
        <v>17</v>
      </c>
      <c r="F1151" s="41" t="s">
        <v>18</v>
      </c>
      <c r="J1151" s="49"/>
      <c r="K1151" s="51"/>
      <c r="L1151" s="49"/>
      <c r="M1151" s="52"/>
      <c r="N1151" s="49"/>
      <c r="O1151" s="49"/>
    </row>
    <row r="1152" spans="1:15" ht="15.75" thickBot="1" x14ac:dyDescent="0.3">
      <c r="A1152" s="6"/>
      <c r="B1152" s="73"/>
      <c r="D1152" s="256"/>
      <c r="F1152" s="7"/>
      <c r="J1152" s="37"/>
      <c r="K1152" s="36"/>
      <c r="L1152" s="37"/>
      <c r="M1152" s="38"/>
      <c r="N1152" s="37"/>
      <c r="O1152" s="37"/>
    </row>
    <row r="1153" spans="1:15" ht="15.75" thickBot="1" x14ac:dyDescent="0.3">
      <c r="A1153" s="1" t="s">
        <v>19</v>
      </c>
      <c r="B1153" s="13"/>
      <c r="C1153" s="14"/>
      <c r="D1153" s="15"/>
      <c r="E1153" s="14"/>
      <c r="F1153" s="16"/>
      <c r="J1153" s="39"/>
      <c r="K1153" s="53"/>
      <c r="L1153" s="39"/>
      <c r="M1153" s="54"/>
      <c r="N1153" s="39"/>
      <c r="O1153" s="39"/>
    </row>
    <row r="1154" spans="1:15" ht="30" x14ac:dyDescent="0.25">
      <c r="A1154" s="95"/>
      <c r="B1154" s="96" t="s">
        <v>30</v>
      </c>
      <c r="C1154" s="97" t="s">
        <v>29</v>
      </c>
      <c r="D1154" s="20">
        <v>0.05</v>
      </c>
      <c r="E1154" s="183">
        <v>214067</v>
      </c>
      <c r="F1154" s="184">
        <f>ROUND(D1154*E1154,)</f>
        <v>10703</v>
      </c>
      <c r="J1154" s="39"/>
      <c r="K1154" s="50"/>
      <c r="L1154" s="61"/>
      <c r="M1154" s="58"/>
      <c r="N1154" s="242"/>
      <c r="O1154" s="242"/>
    </row>
    <row r="1155" spans="1:15" ht="15.75" thickBot="1" x14ac:dyDescent="0.3">
      <c r="A1155" s="23"/>
      <c r="B1155" s="78" t="s">
        <v>98</v>
      </c>
      <c r="C1155" s="79" t="s">
        <v>29</v>
      </c>
      <c r="D1155" s="80">
        <v>3.5999999999999997E-2</v>
      </c>
      <c r="E1155" s="192">
        <v>172900</v>
      </c>
      <c r="F1155" s="189">
        <f>ROUND(D1155*E1155,)</f>
        <v>6224</v>
      </c>
      <c r="J1155" s="60"/>
      <c r="K1155" s="50"/>
      <c r="L1155" s="61"/>
      <c r="M1155" s="58"/>
      <c r="N1155" s="242"/>
      <c r="O1155" s="242"/>
    </row>
    <row r="1156" spans="1:15" ht="15.75" thickBot="1" x14ac:dyDescent="0.3">
      <c r="A1156" s="6"/>
      <c r="B1156" s="73"/>
      <c r="D1156" s="256"/>
      <c r="E1156" s="257" t="s">
        <v>20</v>
      </c>
      <c r="F1156" s="187">
        <f>+F1154+F1155</f>
        <v>16927</v>
      </c>
      <c r="J1156" s="37"/>
      <c r="K1156" s="36"/>
      <c r="L1156" s="37"/>
      <c r="M1156" s="38"/>
      <c r="N1156" s="39"/>
      <c r="O1156" s="242"/>
    </row>
    <row r="1157" spans="1:15" ht="15.75" thickBot="1" x14ac:dyDescent="0.3">
      <c r="A1157" s="6"/>
      <c r="B1157" s="73"/>
      <c r="D1157" s="256"/>
      <c r="F1157" s="7"/>
      <c r="J1157" s="37"/>
      <c r="K1157" s="36"/>
      <c r="L1157" s="37"/>
      <c r="M1157" s="38"/>
      <c r="N1157" s="37"/>
      <c r="O1157" s="37"/>
    </row>
    <row r="1158" spans="1:15" ht="15.75" thickBot="1" x14ac:dyDescent="0.3">
      <c r="A1158" s="44" t="s">
        <v>21</v>
      </c>
      <c r="B1158" s="45"/>
      <c r="C1158" s="46"/>
      <c r="D1158" s="47"/>
      <c r="E1158" s="46"/>
      <c r="F1158" s="48"/>
      <c r="J1158" s="39"/>
      <c r="K1158" s="53"/>
      <c r="L1158" s="39"/>
      <c r="M1158" s="54"/>
      <c r="N1158" s="39"/>
      <c r="O1158" s="39"/>
    </row>
    <row r="1159" spans="1:15" x14ac:dyDescent="0.25">
      <c r="A1159" s="122"/>
      <c r="B1159" s="96" t="s">
        <v>34</v>
      </c>
      <c r="C1159" s="97" t="s">
        <v>35</v>
      </c>
      <c r="D1159" s="20">
        <v>1.5</v>
      </c>
      <c r="E1159" s="183">
        <v>2210</v>
      </c>
      <c r="F1159" s="188">
        <f t="shared" ref="F1159:F1163" si="73">ROUND(D1159*E1159,)</f>
        <v>3315</v>
      </c>
      <c r="I1159" s="242"/>
      <c r="J1159" s="39"/>
      <c r="K1159" s="50"/>
      <c r="L1159" s="61"/>
      <c r="M1159" s="75"/>
      <c r="N1159" s="242"/>
      <c r="O1159" s="242"/>
    </row>
    <row r="1160" spans="1:15" ht="30" x14ac:dyDescent="0.25">
      <c r="A1160" s="108"/>
      <c r="B1160" s="236" t="s">
        <v>209</v>
      </c>
      <c r="C1160" s="237" t="s">
        <v>37</v>
      </c>
      <c r="D1160" s="123">
        <v>0.8</v>
      </c>
      <c r="E1160" s="182">
        <v>1560</v>
      </c>
      <c r="F1160" s="185">
        <f t="shared" si="73"/>
        <v>1248</v>
      </c>
      <c r="I1160" s="242"/>
      <c r="J1160" s="39"/>
      <c r="K1160" s="175"/>
      <c r="L1160" s="176"/>
      <c r="M1160" s="177"/>
      <c r="N1160" s="242"/>
      <c r="O1160" s="242"/>
    </row>
    <row r="1161" spans="1:15" ht="20.25" customHeight="1" x14ac:dyDescent="0.25">
      <c r="A1161" s="108"/>
      <c r="B1161" s="85" t="s">
        <v>211</v>
      </c>
      <c r="C1161" s="86" t="s">
        <v>40</v>
      </c>
      <c r="D1161" s="83">
        <v>0.8</v>
      </c>
      <c r="E1161" s="180">
        <v>1560</v>
      </c>
      <c r="F1161" s="185">
        <f t="shared" si="73"/>
        <v>1248</v>
      </c>
      <c r="I1161" s="242"/>
      <c r="J1161" s="39"/>
      <c r="K1161" s="50"/>
      <c r="L1161" s="61"/>
      <c r="M1161" s="75"/>
      <c r="N1161" s="242"/>
      <c r="O1161" s="242"/>
    </row>
    <row r="1162" spans="1:15" x14ac:dyDescent="0.25">
      <c r="A1162" s="108"/>
      <c r="B1162" s="85" t="s">
        <v>36</v>
      </c>
      <c r="C1162" s="86" t="s">
        <v>37</v>
      </c>
      <c r="D1162" s="83">
        <v>0.8</v>
      </c>
      <c r="E1162" s="180">
        <v>156</v>
      </c>
      <c r="F1162" s="185">
        <f t="shared" si="73"/>
        <v>125</v>
      </c>
      <c r="I1162" s="242"/>
      <c r="J1162" s="60"/>
      <c r="K1162" s="50"/>
      <c r="L1162" s="61"/>
      <c r="M1162" s="75"/>
      <c r="N1162" s="242"/>
      <c r="O1162" s="242"/>
    </row>
    <row r="1163" spans="1:15" ht="15.75" thickBot="1" x14ac:dyDescent="0.3">
      <c r="A1163" s="23"/>
      <c r="B1163" s="78"/>
      <c r="C1163" s="79"/>
      <c r="D1163" s="80"/>
      <c r="E1163" s="192"/>
      <c r="F1163" s="186">
        <f t="shared" si="73"/>
        <v>0</v>
      </c>
      <c r="J1163" s="37"/>
      <c r="K1163" s="36"/>
      <c r="L1163" s="37"/>
      <c r="M1163" s="38"/>
      <c r="N1163" s="39"/>
      <c r="O1163" s="242"/>
    </row>
    <row r="1164" spans="1:15" ht="15.75" thickBot="1" x14ac:dyDescent="0.3">
      <c r="A1164" s="6"/>
      <c r="B1164" s="73"/>
      <c r="D1164" s="256"/>
      <c r="E1164" s="257" t="s">
        <v>22</v>
      </c>
      <c r="F1164" s="187">
        <f>SUM(F1159:F1163)</f>
        <v>5936</v>
      </c>
      <c r="J1164" s="37"/>
      <c r="K1164" s="36"/>
      <c r="L1164" s="37"/>
      <c r="M1164" s="38"/>
      <c r="N1164" s="37"/>
      <c r="O1164" s="37"/>
    </row>
    <row r="1165" spans="1:15" ht="15.75" thickBot="1" x14ac:dyDescent="0.3">
      <c r="A1165" s="6"/>
      <c r="B1165" s="73"/>
      <c r="D1165" s="256"/>
      <c r="F1165" s="7"/>
      <c r="J1165" s="39"/>
      <c r="K1165" s="53"/>
      <c r="L1165" s="39"/>
      <c r="M1165" s="54"/>
      <c r="N1165" s="39"/>
      <c r="O1165" s="39"/>
    </row>
    <row r="1166" spans="1:15" ht="15.75" thickBot="1" x14ac:dyDescent="0.3">
      <c r="A1166" s="44" t="s">
        <v>23</v>
      </c>
      <c r="B1166" s="45"/>
      <c r="C1166" s="46"/>
      <c r="D1166" s="47"/>
      <c r="E1166" s="46"/>
      <c r="F1166" s="48"/>
      <c r="J1166" s="55"/>
      <c r="K1166" s="255"/>
      <c r="L1166" s="57"/>
      <c r="M1166" s="58"/>
      <c r="N1166" s="242"/>
      <c r="O1166" s="242"/>
    </row>
    <row r="1167" spans="1:15" ht="45" customHeight="1" x14ac:dyDescent="0.25">
      <c r="A1167" s="17"/>
      <c r="B1167" s="18" t="s">
        <v>196</v>
      </c>
      <c r="C1167" s="19" t="s">
        <v>42</v>
      </c>
      <c r="D1167" s="20">
        <v>0.08</v>
      </c>
      <c r="E1167" s="183">
        <v>101374</v>
      </c>
      <c r="F1167" s="184">
        <f>ROUND(D1167*E1167,)</f>
        <v>8110</v>
      </c>
      <c r="J1167" s="55"/>
      <c r="K1167" s="255"/>
      <c r="L1167" s="255"/>
      <c r="M1167" s="57"/>
      <c r="N1167" s="58"/>
      <c r="O1167" s="242"/>
    </row>
    <row r="1168" spans="1:15" x14ac:dyDescent="0.25">
      <c r="A1168" s="92"/>
      <c r="B1168" s="87" t="s">
        <v>46</v>
      </c>
      <c r="C1168" s="88" t="s">
        <v>40</v>
      </c>
      <c r="D1168" s="89">
        <v>0.02</v>
      </c>
      <c r="E1168" s="182">
        <v>2470</v>
      </c>
      <c r="F1168" s="188">
        <f>ROUND(D1168*E1168,)</f>
        <v>49</v>
      </c>
      <c r="J1168" s="55"/>
      <c r="K1168" s="255"/>
      <c r="L1168" s="255"/>
      <c r="M1168" s="57"/>
      <c r="N1168" s="58"/>
      <c r="O1168" s="242"/>
    </row>
    <row r="1169" spans="1:15" x14ac:dyDescent="0.25">
      <c r="A1169" s="91"/>
      <c r="B1169" s="43" t="s">
        <v>54</v>
      </c>
      <c r="C1169" s="82" t="s">
        <v>42</v>
      </c>
      <c r="D1169" s="83">
        <v>0.01</v>
      </c>
      <c r="E1169" s="180">
        <v>155870</v>
      </c>
      <c r="F1169" s="185">
        <f t="shared" ref="F1169" si="74">ROUND(D1169*E1169,)</f>
        <v>1559</v>
      </c>
      <c r="J1169" s="55"/>
      <c r="K1169" s="255"/>
      <c r="L1169" s="255"/>
      <c r="M1169" s="57"/>
      <c r="N1169" s="58"/>
      <c r="O1169" s="242"/>
    </row>
    <row r="1170" spans="1:15" x14ac:dyDescent="0.25">
      <c r="A1170" s="91"/>
      <c r="B1170" s="43" t="s">
        <v>221</v>
      </c>
      <c r="C1170" s="82" t="s">
        <v>42</v>
      </c>
      <c r="D1170" s="83">
        <v>0.18</v>
      </c>
      <c r="E1170" s="180">
        <v>31174</v>
      </c>
      <c r="F1170" s="185">
        <f t="shared" ref="F1170:F1173" si="75">ROUND(D1170*E1170,)</f>
        <v>5611</v>
      </c>
      <c r="J1170" s="55"/>
      <c r="K1170" s="255"/>
      <c r="L1170" s="255"/>
      <c r="M1170" s="57"/>
      <c r="N1170" s="58"/>
      <c r="O1170" s="242"/>
    </row>
    <row r="1171" spans="1:15" x14ac:dyDescent="0.25">
      <c r="A1171" s="91"/>
      <c r="B1171" s="87" t="s">
        <v>51</v>
      </c>
      <c r="C1171" s="88" t="s">
        <v>0</v>
      </c>
      <c r="D1171" s="123">
        <v>0.03</v>
      </c>
      <c r="E1171" s="182">
        <v>18070</v>
      </c>
      <c r="F1171" s="210">
        <f t="shared" si="75"/>
        <v>542</v>
      </c>
      <c r="J1171" s="55"/>
      <c r="K1171" s="255"/>
      <c r="L1171" s="255"/>
      <c r="M1171" s="57"/>
      <c r="N1171" s="177"/>
      <c r="O1171" s="242"/>
    </row>
    <row r="1172" spans="1:15" ht="30" x14ac:dyDescent="0.25">
      <c r="A1172" s="91"/>
      <c r="B1172" s="87" t="s">
        <v>106</v>
      </c>
      <c r="C1172" s="88" t="s">
        <v>0</v>
      </c>
      <c r="D1172" s="115">
        <v>0.01</v>
      </c>
      <c r="E1172" s="180">
        <v>12350</v>
      </c>
      <c r="F1172" s="196">
        <f t="shared" si="75"/>
        <v>124</v>
      </c>
      <c r="J1172" s="55"/>
      <c r="K1172" s="255"/>
      <c r="L1172" s="255"/>
      <c r="M1172" s="57"/>
      <c r="N1172" s="177"/>
      <c r="O1172" s="242"/>
    </row>
    <row r="1173" spans="1:15" ht="15.75" thickBot="1" x14ac:dyDescent="0.3">
      <c r="A1173" s="30"/>
      <c r="B1173" s="31" t="s">
        <v>53</v>
      </c>
      <c r="C1173" s="32" t="s">
        <v>0</v>
      </c>
      <c r="D1173" s="140">
        <v>0.01</v>
      </c>
      <c r="E1173" s="181">
        <v>16770</v>
      </c>
      <c r="F1173" s="246">
        <f t="shared" si="75"/>
        <v>168</v>
      </c>
      <c r="J1173" s="55"/>
      <c r="K1173" s="255"/>
      <c r="L1173" s="255"/>
      <c r="M1173" s="57"/>
      <c r="N1173" s="177"/>
      <c r="O1173" s="242"/>
    </row>
    <row r="1174" spans="1:15" ht="15.75" thickBot="1" x14ac:dyDescent="0.3">
      <c r="A1174" s="6"/>
      <c r="B1174" s="73"/>
      <c r="D1174" s="256"/>
      <c r="E1174" s="257" t="s">
        <v>24</v>
      </c>
      <c r="F1174" s="187">
        <f>SUM(F1167:F1173)</f>
        <v>16163</v>
      </c>
      <c r="J1174" s="55"/>
      <c r="K1174" s="255"/>
      <c r="L1174" s="57"/>
      <c r="M1174" s="177"/>
      <c r="N1174" s="242"/>
      <c r="O1174" s="261"/>
    </row>
    <row r="1175" spans="1:15" ht="15.75" thickBot="1" x14ac:dyDescent="0.3">
      <c r="A1175" s="6"/>
      <c r="B1175" s="73"/>
      <c r="D1175" s="256"/>
      <c r="E1175" s="257"/>
      <c r="F1175" s="212"/>
      <c r="J1175" s="55"/>
      <c r="K1175" s="255"/>
      <c r="L1175" s="57"/>
      <c r="M1175" s="177"/>
      <c r="N1175" s="242"/>
      <c r="O1175" s="261"/>
    </row>
    <row r="1176" spans="1:15" ht="15.75" thickBot="1" x14ac:dyDescent="0.3">
      <c r="A1176" s="69" t="s">
        <v>12</v>
      </c>
      <c r="B1176" s="64" t="s">
        <v>25</v>
      </c>
      <c r="C1176" s="65"/>
      <c r="D1176" s="66"/>
      <c r="E1176" s="67"/>
      <c r="F1176" s="352">
        <f>+F1174+F1164+F1156</f>
        <v>39026</v>
      </c>
      <c r="H1176" s="126"/>
      <c r="J1176" s="37"/>
      <c r="K1176" s="36"/>
      <c r="L1176" s="37"/>
      <c r="M1176" s="38"/>
      <c r="N1176" s="39"/>
      <c r="O1176" s="242"/>
    </row>
    <row r="1177" spans="1:15" ht="15.75" thickBot="1" x14ac:dyDescent="0.3">
      <c r="J1177" s="37"/>
      <c r="K1177" s="36"/>
      <c r="L1177" s="37"/>
      <c r="M1177" s="38"/>
      <c r="N1177" s="39"/>
      <c r="O1177" s="59"/>
    </row>
    <row r="1178" spans="1:15" ht="27" customHeight="1" x14ac:dyDescent="0.25">
      <c r="A1178" s="1" t="s">
        <v>47</v>
      </c>
      <c r="B1178" s="357" t="s">
        <v>27</v>
      </c>
      <c r="C1178" s="357"/>
      <c r="D1178" s="357"/>
      <c r="E1178" s="265" t="s">
        <v>121</v>
      </c>
      <c r="F1178" s="5" t="s">
        <v>15</v>
      </c>
      <c r="J1178" s="51"/>
      <c r="K1178" s="53"/>
      <c r="L1178" s="37"/>
      <c r="M1178" s="38"/>
      <c r="N1178" s="37"/>
      <c r="O1178" s="262"/>
    </row>
    <row r="1179" spans="1:15" ht="15.75" thickBot="1" x14ac:dyDescent="0.3">
      <c r="A1179" s="70" t="s">
        <v>9</v>
      </c>
      <c r="B1179" s="71">
        <v>5.3</v>
      </c>
      <c r="C1179" s="10"/>
      <c r="D1179" s="11"/>
      <c r="E1179" s="10"/>
      <c r="F1179" s="72" t="s">
        <v>26</v>
      </c>
    </row>
    <row r="1180" spans="1:15" ht="15.75" thickBot="1" x14ac:dyDescent="0.3">
      <c r="A1180" s="6"/>
      <c r="B1180" s="73"/>
      <c r="D1180" s="256"/>
      <c r="F1180" s="7"/>
    </row>
    <row r="1181" spans="1:15" ht="15.75" thickBot="1" x14ac:dyDescent="0.3">
      <c r="A1181" s="33" t="s">
        <v>179</v>
      </c>
      <c r="B1181" s="40" t="s">
        <v>47</v>
      </c>
      <c r="C1181" s="34" t="s">
        <v>15</v>
      </c>
      <c r="D1181" s="35" t="s">
        <v>16</v>
      </c>
      <c r="E1181" s="34" t="s">
        <v>17</v>
      </c>
      <c r="F1181" s="41" t="s">
        <v>18</v>
      </c>
    </row>
    <row r="1182" spans="1:15" ht="15.75" thickBot="1" x14ac:dyDescent="0.3">
      <c r="A1182" s="6"/>
      <c r="B1182" s="73"/>
      <c r="D1182" s="256"/>
      <c r="F1182" s="7"/>
    </row>
    <row r="1183" spans="1:15" ht="15.75" thickBot="1" x14ac:dyDescent="0.3">
      <c r="A1183" s="1" t="s">
        <v>19</v>
      </c>
      <c r="B1183" s="13"/>
      <c r="C1183" s="14"/>
      <c r="D1183" s="15"/>
      <c r="E1183" s="14"/>
      <c r="F1183" s="16"/>
    </row>
    <row r="1184" spans="1:15" ht="30" x14ac:dyDescent="0.25">
      <c r="A1184" s="95"/>
      <c r="B1184" s="96" t="s">
        <v>30</v>
      </c>
      <c r="C1184" s="97" t="s">
        <v>29</v>
      </c>
      <c r="D1184" s="20">
        <v>0.05</v>
      </c>
      <c r="E1184" s="183">
        <v>214067</v>
      </c>
      <c r="F1184" s="184">
        <f>ROUND(D1184*E1184,)</f>
        <v>10703</v>
      </c>
      <c r="I1184" s="50"/>
      <c r="J1184" s="61"/>
      <c r="K1184" s="58"/>
      <c r="L1184" s="242"/>
    </row>
    <row r="1185" spans="1:13" ht="15.75" thickBot="1" x14ac:dyDescent="0.3">
      <c r="A1185" s="23"/>
      <c r="B1185" s="78" t="s">
        <v>98</v>
      </c>
      <c r="C1185" s="79" t="s">
        <v>29</v>
      </c>
      <c r="D1185" s="80">
        <v>3.5999999999999997E-2</v>
      </c>
      <c r="E1185" s="192">
        <v>172900</v>
      </c>
      <c r="F1185" s="189">
        <f>ROUND(D1185*E1185,)</f>
        <v>6224</v>
      </c>
      <c r="I1185" s="50"/>
      <c r="J1185" s="61"/>
      <c r="K1185" s="58"/>
      <c r="L1185" s="242"/>
    </row>
    <row r="1186" spans="1:13" ht="15.75" thickBot="1" x14ac:dyDescent="0.3">
      <c r="A1186" s="6"/>
      <c r="B1186" s="73"/>
      <c r="D1186" s="256"/>
      <c r="E1186" s="257" t="s">
        <v>20</v>
      </c>
      <c r="F1186" s="187">
        <f>+F1184+F1185</f>
        <v>16927</v>
      </c>
    </row>
    <row r="1187" spans="1:13" ht="15.75" thickBot="1" x14ac:dyDescent="0.3">
      <c r="A1187" s="6"/>
      <c r="B1187" s="73"/>
      <c r="D1187" s="256"/>
      <c r="F1187" s="7"/>
    </row>
    <row r="1188" spans="1:13" ht="15.75" thickBot="1" x14ac:dyDescent="0.3">
      <c r="A1188" s="44" t="s">
        <v>21</v>
      </c>
      <c r="B1188" s="45"/>
      <c r="C1188" s="46"/>
      <c r="D1188" s="47"/>
      <c r="E1188" s="46"/>
      <c r="F1188" s="48"/>
    </row>
    <row r="1189" spans="1:13" x14ac:dyDescent="0.25">
      <c r="A1189" s="122"/>
      <c r="B1189" s="96" t="s">
        <v>34</v>
      </c>
      <c r="C1189" s="97" t="s">
        <v>35</v>
      </c>
      <c r="D1189" s="20">
        <v>1.5</v>
      </c>
      <c r="E1189" s="183">
        <v>2210</v>
      </c>
      <c r="F1189" s="188">
        <f t="shared" ref="F1189:F1193" si="76">ROUND(D1189*E1189,)</f>
        <v>3315</v>
      </c>
    </row>
    <row r="1190" spans="1:13" ht="30" x14ac:dyDescent="0.25">
      <c r="A1190" s="108"/>
      <c r="B1190" s="236" t="s">
        <v>209</v>
      </c>
      <c r="C1190" s="237" t="s">
        <v>37</v>
      </c>
      <c r="D1190" s="123">
        <v>0.8</v>
      </c>
      <c r="E1190" s="182">
        <v>1560</v>
      </c>
      <c r="F1190" s="185">
        <f t="shared" si="76"/>
        <v>1248</v>
      </c>
    </row>
    <row r="1191" spans="1:13" ht="16.5" customHeight="1" x14ac:dyDescent="0.25">
      <c r="A1191" s="108"/>
      <c r="B1191" s="85" t="s">
        <v>211</v>
      </c>
      <c r="C1191" s="86" t="s">
        <v>40</v>
      </c>
      <c r="D1191" s="83">
        <v>0.8</v>
      </c>
      <c r="E1191" s="180">
        <v>1560</v>
      </c>
      <c r="F1191" s="185">
        <f t="shared" si="76"/>
        <v>1248</v>
      </c>
    </row>
    <row r="1192" spans="1:13" x14ac:dyDescent="0.25">
      <c r="A1192" s="108"/>
      <c r="B1192" s="85" t="s">
        <v>36</v>
      </c>
      <c r="C1192" s="86" t="s">
        <v>37</v>
      </c>
      <c r="D1192" s="83">
        <v>0.8</v>
      </c>
      <c r="E1192" s="180">
        <v>156</v>
      </c>
      <c r="F1192" s="185">
        <f t="shared" si="76"/>
        <v>125</v>
      </c>
    </row>
    <row r="1193" spans="1:13" ht="15.75" thickBot="1" x14ac:dyDescent="0.3">
      <c r="A1193" s="23"/>
      <c r="B1193" s="24"/>
      <c r="C1193" s="25"/>
      <c r="D1193" s="26"/>
      <c r="E1193" s="192"/>
      <c r="F1193" s="186">
        <f t="shared" si="76"/>
        <v>0</v>
      </c>
    </row>
    <row r="1194" spans="1:13" ht="15.75" thickBot="1" x14ac:dyDescent="0.3">
      <c r="A1194" s="6"/>
      <c r="B1194" s="73"/>
      <c r="D1194" s="256"/>
      <c r="E1194" s="257" t="s">
        <v>22</v>
      </c>
      <c r="F1194" s="187">
        <f>SUM(F1189:F1193)</f>
        <v>5936</v>
      </c>
    </row>
    <row r="1195" spans="1:13" ht="15.75" thickBot="1" x14ac:dyDescent="0.3">
      <c r="A1195" s="6"/>
      <c r="B1195" s="73"/>
      <c r="D1195" s="256"/>
      <c r="F1195" s="7"/>
    </row>
    <row r="1196" spans="1:13" ht="15.75" thickBot="1" x14ac:dyDescent="0.3">
      <c r="A1196" s="44" t="s">
        <v>23</v>
      </c>
      <c r="B1196" s="45"/>
      <c r="C1196" s="46"/>
      <c r="D1196" s="47"/>
      <c r="E1196" s="46"/>
      <c r="F1196" s="48"/>
    </row>
    <row r="1197" spans="1:13" ht="30" x14ac:dyDescent="0.25">
      <c r="A1197" s="17"/>
      <c r="B1197" s="18" t="s">
        <v>123</v>
      </c>
      <c r="C1197" s="19" t="s">
        <v>42</v>
      </c>
      <c r="D1197" s="20">
        <v>0.08</v>
      </c>
      <c r="E1197" s="183">
        <v>120250</v>
      </c>
      <c r="F1197" s="184">
        <f>ROUND(D1197*E1197,)</f>
        <v>9620</v>
      </c>
      <c r="G1197" s="37"/>
      <c r="H1197" s="255"/>
      <c r="I1197" s="57"/>
      <c r="J1197" s="58"/>
      <c r="K1197" s="263"/>
      <c r="L1197" s="242"/>
      <c r="M1197" s="37"/>
    </row>
    <row r="1198" spans="1:13" x14ac:dyDescent="0.25">
      <c r="A1198" s="92"/>
      <c r="B1198" s="87" t="s">
        <v>46</v>
      </c>
      <c r="C1198" s="88" t="s">
        <v>40</v>
      </c>
      <c r="D1198" s="89">
        <v>0.02</v>
      </c>
      <c r="E1198" s="182">
        <v>2470</v>
      </c>
      <c r="F1198" s="188">
        <f>ROUND(D1198*E1198,)</f>
        <v>49</v>
      </c>
      <c r="G1198" s="37"/>
      <c r="H1198" s="255"/>
      <c r="I1198" s="57"/>
      <c r="J1198" s="58"/>
      <c r="K1198" s="242"/>
      <c r="L1198" s="242"/>
      <c r="M1198" s="37"/>
    </row>
    <row r="1199" spans="1:13" x14ac:dyDescent="0.25">
      <c r="A1199" s="91"/>
      <c r="B1199" s="43" t="s">
        <v>54</v>
      </c>
      <c r="C1199" s="82" t="s">
        <v>42</v>
      </c>
      <c r="D1199" s="83">
        <v>0.01</v>
      </c>
      <c r="E1199" s="180">
        <v>155870</v>
      </c>
      <c r="F1199" s="185">
        <f t="shared" ref="F1199:F1203" si="77">ROUND(D1199*E1199,)</f>
        <v>1559</v>
      </c>
      <c r="G1199" s="37"/>
      <c r="H1199" s="255"/>
      <c r="I1199" s="57"/>
      <c r="J1199" s="58"/>
      <c r="K1199" s="242"/>
      <c r="L1199" s="242"/>
      <c r="M1199" s="37"/>
    </row>
    <row r="1200" spans="1:13" x14ac:dyDescent="0.25">
      <c r="A1200" s="91"/>
      <c r="B1200" s="43" t="s">
        <v>221</v>
      </c>
      <c r="C1200" s="82" t="s">
        <v>42</v>
      </c>
      <c r="D1200" s="83">
        <v>0.18</v>
      </c>
      <c r="E1200" s="180">
        <v>31174</v>
      </c>
      <c r="F1200" s="185">
        <f t="shared" ref="F1200:F1202" si="78">ROUND(D1200*E1200,)</f>
        <v>5611</v>
      </c>
      <c r="G1200" s="37"/>
      <c r="H1200" s="255"/>
      <c r="I1200" s="57"/>
      <c r="J1200" s="58"/>
      <c r="K1200" s="242"/>
      <c r="L1200" s="242"/>
      <c r="M1200" s="37"/>
    </row>
    <row r="1201" spans="1:13" x14ac:dyDescent="0.25">
      <c r="A1201" s="91"/>
      <c r="B1201" s="87" t="s">
        <v>51</v>
      </c>
      <c r="C1201" s="88" t="s">
        <v>0</v>
      </c>
      <c r="D1201" s="123">
        <v>0.03</v>
      </c>
      <c r="E1201" s="182">
        <v>18070</v>
      </c>
      <c r="F1201" s="185">
        <f t="shared" si="78"/>
        <v>542</v>
      </c>
      <c r="G1201" s="37"/>
      <c r="H1201" s="255"/>
      <c r="I1201" s="57"/>
      <c r="J1201" s="58"/>
      <c r="K1201" s="242"/>
      <c r="L1201" s="242"/>
      <c r="M1201" s="37"/>
    </row>
    <row r="1202" spans="1:13" ht="30" x14ac:dyDescent="0.25">
      <c r="A1202" s="91"/>
      <c r="B1202" s="87" t="s">
        <v>106</v>
      </c>
      <c r="C1202" s="88" t="s">
        <v>0</v>
      </c>
      <c r="D1202" s="115">
        <v>0.01</v>
      </c>
      <c r="E1202" s="180">
        <v>12350</v>
      </c>
      <c r="F1202" s="185">
        <f t="shared" si="78"/>
        <v>124</v>
      </c>
      <c r="G1202" s="37"/>
      <c r="H1202" s="255"/>
      <c r="I1202" s="57"/>
      <c r="J1202" s="58"/>
      <c r="K1202" s="242"/>
      <c r="L1202" s="242"/>
      <c r="M1202" s="37"/>
    </row>
    <row r="1203" spans="1:13" ht="15.75" thickBot="1" x14ac:dyDescent="0.3">
      <c r="A1203" s="30"/>
      <c r="B1203" s="31" t="s">
        <v>53</v>
      </c>
      <c r="C1203" s="32" t="s">
        <v>0</v>
      </c>
      <c r="D1203" s="140">
        <v>0.01</v>
      </c>
      <c r="E1203" s="181">
        <v>16770</v>
      </c>
      <c r="F1203" s="186">
        <f t="shared" si="77"/>
        <v>168</v>
      </c>
      <c r="G1203" s="255"/>
      <c r="H1203" s="57"/>
      <c r="I1203" s="58"/>
      <c r="J1203" s="242"/>
      <c r="K1203" s="242"/>
      <c r="L1203" s="261"/>
      <c r="M1203" s="37"/>
    </row>
    <row r="1204" spans="1:13" ht="15.75" thickBot="1" x14ac:dyDescent="0.3">
      <c r="A1204" s="6"/>
      <c r="B1204" s="36"/>
      <c r="C1204" s="37"/>
      <c r="D1204" s="38"/>
      <c r="E1204" s="39" t="s">
        <v>24</v>
      </c>
      <c r="F1204" s="187">
        <f>SUM(F1197:F1203)</f>
        <v>17673</v>
      </c>
      <c r="G1204" s="37"/>
      <c r="H1204" s="255"/>
      <c r="I1204" s="57"/>
      <c r="J1204" s="177"/>
      <c r="K1204" s="242"/>
      <c r="L1204" s="261"/>
      <c r="M1204" s="37"/>
    </row>
    <row r="1205" spans="1:13" ht="15.75" thickBot="1" x14ac:dyDescent="0.3">
      <c r="A1205" s="6"/>
      <c r="B1205" s="36"/>
      <c r="C1205" s="37"/>
      <c r="D1205" s="38"/>
      <c r="E1205" s="39"/>
      <c r="F1205" s="212"/>
      <c r="G1205" s="37"/>
      <c r="H1205" s="255"/>
      <c r="I1205" s="57"/>
      <c r="J1205" s="177"/>
      <c r="K1205" s="242"/>
      <c r="L1205" s="261"/>
      <c r="M1205" s="37"/>
    </row>
    <row r="1206" spans="1:13" ht="15.75" thickBot="1" x14ac:dyDescent="0.3">
      <c r="A1206" s="69" t="s">
        <v>12</v>
      </c>
      <c r="B1206" s="64" t="s">
        <v>25</v>
      </c>
      <c r="C1206" s="65"/>
      <c r="D1206" s="66"/>
      <c r="E1206" s="67"/>
      <c r="F1206" s="352">
        <f>+F1204+F1194+F1186</f>
        <v>40536</v>
      </c>
      <c r="G1206" s="37"/>
      <c r="H1206" s="285"/>
      <c r="I1206" s="57"/>
      <c r="J1206" s="177"/>
      <c r="K1206" s="242"/>
      <c r="L1206" s="261"/>
      <c r="M1206" s="37"/>
    </row>
    <row r="1207" spans="1:13" ht="15.75" thickBot="1" x14ac:dyDescent="0.3">
      <c r="A1207" s="37"/>
      <c r="B1207" s="37"/>
      <c r="C1207" s="37"/>
      <c r="D1207" s="37"/>
      <c r="E1207" s="37"/>
      <c r="F1207" s="37"/>
      <c r="G1207" s="37"/>
      <c r="H1207" s="37"/>
      <c r="I1207" s="37"/>
      <c r="J1207" s="37"/>
      <c r="K1207" s="37"/>
      <c r="L1207" s="37"/>
      <c r="M1207" s="37"/>
    </row>
    <row r="1208" spans="1:13" ht="28.5" customHeight="1" x14ac:dyDescent="0.25">
      <c r="A1208" s="1" t="s">
        <v>47</v>
      </c>
      <c r="B1208" s="358" t="s">
        <v>124</v>
      </c>
      <c r="C1208" s="358"/>
      <c r="D1208" s="358"/>
      <c r="E1208" s="265" t="s">
        <v>121</v>
      </c>
      <c r="F1208" s="5" t="s">
        <v>15</v>
      </c>
      <c r="G1208" s="37"/>
      <c r="H1208" s="37"/>
      <c r="I1208" s="37"/>
      <c r="J1208" s="37"/>
      <c r="K1208" s="37"/>
      <c r="L1208" s="37"/>
      <c r="M1208" s="37"/>
    </row>
    <row r="1209" spans="1:13" ht="15.75" thickBot="1" x14ac:dyDescent="0.3">
      <c r="A1209" s="8" t="s">
        <v>9</v>
      </c>
      <c r="B1209" s="71">
        <v>5.4</v>
      </c>
      <c r="C1209" s="10"/>
      <c r="D1209" s="10"/>
      <c r="E1209" s="10"/>
      <c r="F1209" s="99" t="s">
        <v>26</v>
      </c>
      <c r="G1209" s="37"/>
      <c r="H1209" s="37"/>
      <c r="I1209" s="37"/>
      <c r="J1209" s="37"/>
      <c r="K1209" s="37"/>
      <c r="L1209" s="37"/>
      <c r="M1209" s="37"/>
    </row>
    <row r="1210" spans="1:13" ht="15.75" thickBot="1" x14ac:dyDescent="0.3">
      <c r="A1210" s="155"/>
      <c r="B1210" s="98"/>
      <c r="C1210" s="10"/>
      <c r="D1210" s="10"/>
      <c r="E1210" s="10"/>
      <c r="F1210" s="12"/>
      <c r="G1210" s="37"/>
      <c r="H1210" s="37"/>
      <c r="I1210" s="37"/>
      <c r="J1210" s="37"/>
      <c r="K1210" s="37"/>
      <c r="L1210" s="37"/>
      <c r="M1210" s="37"/>
    </row>
    <row r="1211" spans="1:13" ht="15.75" thickBot="1" x14ac:dyDescent="0.3">
      <c r="A1211" s="33" t="s">
        <v>179</v>
      </c>
      <c r="B1211" s="40" t="s">
        <v>47</v>
      </c>
      <c r="C1211" s="34" t="s">
        <v>15</v>
      </c>
      <c r="D1211" s="34" t="s">
        <v>16</v>
      </c>
      <c r="E1211" s="34" t="s">
        <v>17</v>
      </c>
      <c r="F1211" s="41" t="s">
        <v>18</v>
      </c>
      <c r="G1211" s="37"/>
      <c r="H1211" s="37"/>
      <c r="I1211" s="37"/>
      <c r="J1211" s="37"/>
      <c r="K1211" s="37"/>
      <c r="L1211" s="37"/>
      <c r="M1211" s="37"/>
    </row>
    <row r="1212" spans="1:13" ht="15.75" thickBot="1" x14ac:dyDescent="0.3">
      <c r="A1212" s="6"/>
      <c r="B1212" s="36"/>
      <c r="C1212" s="37"/>
      <c r="D1212" s="37"/>
      <c r="E1212" s="37"/>
      <c r="F1212" s="7"/>
    </row>
    <row r="1213" spans="1:13" ht="15.75" thickBot="1" x14ac:dyDescent="0.3">
      <c r="A1213" s="44" t="s">
        <v>19</v>
      </c>
      <c r="B1213" s="45"/>
      <c r="C1213" s="46"/>
      <c r="D1213" s="46"/>
      <c r="E1213" s="46"/>
      <c r="F1213" s="48"/>
    </row>
    <row r="1214" spans="1:13" ht="30" x14ac:dyDescent="0.25">
      <c r="A1214" s="17"/>
      <c r="B1214" s="96" t="s">
        <v>30</v>
      </c>
      <c r="C1214" s="97" t="s">
        <v>29</v>
      </c>
      <c r="D1214" s="20">
        <v>0.06</v>
      </c>
      <c r="E1214" s="183">
        <v>214067</v>
      </c>
      <c r="F1214" s="184">
        <f>ROUND(D1214*E1214,)</f>
        <v>12844</v>
      </c>
      <c r="H1214" s="37"/>
      <c r="I1214" s="50"/>
      <c r="J1214" s="61"/>
      <c r="K1214" s="58"/>
      <c r="L1214" s="242"/>
      <c r="M1214" s="37"/>
    </row>
    <row r="1215" spans="1:13" ht="15.75" thickBot="1" x14ac:dyDescent="0.3">
      <c r="A1215" s="23"/>
      <c r="B1215" s="78" t="s">
        <v>98</v>
      </c>
      <c r="C1215" s="79" t="s">
        <v>29</v>
      </c>
      <c r="D1215" s="80">
        <v>3.5999999999999997E-2</v>
      </c>
      <c r="E1215" s="192">
        <v>172900</v>
      </c>
      <c r="F1215" s="186">
        <f t="shared" ref="F1215" si="79">ROUND(D1215*E1215,)</f>
        <v>6224</v>
      </c>
      <c r="H1215" s="37"/>
      <c r="I1215" s="50"/>
      <c r="J1215" s="61"/>
      <c r="K1215" s="58"/>
      <c r="L1215" s="242"/>
      <c r="M1215" s="37"/>
    </row>
    <row r="1216" spans="1:13" ht="15.75" thickBot="1" x14ac:dyDescent="0.3">
      <c r="A1216" s="6"/>
      <c r="B1216" s="36"/>
      <c r="C1216" s="37"/>
      <c r="D1216" s="38"/>
      <c r="E1216" s="39" t="s">
        <v>20</v>
      </c>
      <c r="F1216" s="187">
        <f>SUM(F1214:F1215)</f>
        <v>19068</v>
      </c>
      <c r="H1216" s="37"/>
      <c r="I1216" s="36"/>
      <c r="J1216" s="37"/>
      <c r="K1216" s="38"/>
      <c r="L1216" s="39"/>
      <c r="M1216" s="37"/>
    </row>
    <row r="1217" spans="1:13" ht="15.75" thickBot="1" x14ac:dyDescent="0.3">
      <c r="A1217" s="6"/>
      <c r="B1217" s="36"/>
      <c r="C1217" s="37"/>
      <c r="D1217" s="37"/>
      <c r="E1217" s="37"/>
      <c r="F1217" s="7"/>
      <c r="H1217" s="37"/>
      <c r="I1217" s="36"/>
      <c r="J1217" s="37"/>
      <c r="K1217" s="38"/>
      <c r="L1217" s="37"/>
      <c r="M1217" s="37"/>
    </row>
    <row r="1218" spans="1:13" ht="15.75" thickBot="1" x14ac:dyDescent="0.3">
      <c r="A1218" s="1" t="s">
        <v>21</v>
      </c>
      <c r="B1218" s="13"/>
      <c r="C1218" s="14"/>
      <c r="D1218" s="14"/>
      <c r="E1218" s="14"/>
      <c r="F1218" s="16"/>
      <c r="H1218" s="37"/>
      <c r="I1218" s="53"/>
      <c r="J1218" s="39"/>
      <c r="K1218" s="54"/>
      <c r="L1218" s="39"/>
      <c r="M1218" s="37"/>
    </row>
    <row r="1219" spans="1:13" x14ac:dyDescent="0.25">
      <c r="A1219" s="95"/>
      <c r="B1219" s="96" t="s">
        <v>31</v>
      </c>
      <c r="C1219" s="97" t="s">
        <v>32</v>
      </c>
      <c r="D1219" s="20">
        <v>0.02</v>
      </c>
      <c r="E1219" s="183">
        <v>85000</v>
      </c>
      <c r="F1219" s="184">
        <f t="shared" ref="F1219:F1220" si="80">ROUND(D1219*E1219,)</f>
        <v>1700</v>
      </c>
      <c r="H1219" s="37"/>
      <c r="I1219" s="175"/>
      <c r="J1219" s="176"/>
      <c r="K1219" s="177"/>
      <c r="L1219" s="242"/>
      <c r="M1219" s="37"/>
    </row>
    <row r="1220" spans="1:13" ht="15.75" thickBot="1" x14ac:dyDescent="0.3">
      <c r="A1220" s="23"/>
      <c r="B1220" s="24" t="s">
        <v>34</v>
      </c>
      <c r="C1220" s="25" t="s">
        <v>71</v>
      </c>
      <c r="D1220" s="26">
        <v>0.2</v>
      </c>
      <c r="E1220" s="181">
        <v>2210</v>
      </c>
      <c r="F1220" s="186">
        <f t="shared" si="80"/>
        <v>442</v>
      </c>
      <c r="H1220" s="37"/>
      <c r="I1220" s="50"/>
      <c r="J1220" s="61"/>
      <c r="K1220" s="58"/>
      <c r="L1220" s="242"/>
      <c r="M1220" s="37"/>
    </row>
    <row r="1221" spans="1:13" ht="15.75" thickBot="1" x14ac:dyDescent="0.3">
      <c r="A1221" s="6"/>
      <c r="B1221" s="36"/>
      <c r="C1221" s="37"/>
      <c r="D1221" s="38"/>
      <c r="E1221" s="39" t="s">
        <v>22</v>
      </c>
      <c r="F1221" s="187">
        <f>F1220+F1219</f>
        <v>2142</v>
      </c>
      <c r="H1221" s="37"/>
      <c r="I1221" s="36"/>
      <c r="J1221" s="37"/>
      <c r="K1221" s="38"/>
      <c r="L1221" s="39"/>
      <c r="M1221" s="37"/>
    </row>
    <row r="1222" spans="1:13" ht="15.75" thickBot="1" x14ac:dyDescent="0.3">
      <c r="A1222" s="6"/>
      <c r="B1222" s="36"/>
      <c r="C1222" s="37"/>
      <c r="D1222" s="38"/>
      <c r="E1222" s="37"/>
      <c r="F1222" s="7"/>
      <c r="H1222" s="37"/>
      <c r="I1222" s="36"/>
      <c r="J1222" s="37"/>
      <c r="K1222" s="38"/>
      <c r="L1222" s="37"/>
      <c r="M1222" s="37"/>
    </row>
    <row r="1223" spans="1:13" ht="15.75" thickBot="1" x14ac:dyDescent="0.3">
      <c r="A1223" s="1" t="s">
        <v>23</v>
      </c>
      <c r="B1223" s="13"/>
      <c r="C1223" s="14"/>
      <c r="D1223" s="15"/>
      <c r="E1223" s="14"/>
      <c r="F1223" s="16"/>
      <c r="H1223" s="37"/>
      <c r="I1223" s="53"/>
      <c r="J1223" s="39"/>
      <c r="K1223" s="54"/>
      <c r="L1223" s="39"/>
      <c r="M1223" s="37"/>
    </row>
    <row r="1224" spans="1:13" x14ac:dyDescent="0.25">
      <c r="A1224" s="17"/>
      <c r="B1224" s="18"/>
      <c r="C1224" s="19"/>
      <c r="D1224" s="20"/>
      <c r="E1224" s="21"/>
      <c r="F1224" s="22"/>
      <c r="H1224" s="37"/>
      <c r="I1224" s="255"/>
      <c r="J1224" s="57"/>
      <c r="K1224" s="58"/>
      <c r="L1224" s="242"/>
      <c r="M1224" s="37"/>
    </row>
    <row r="1225" spans="1:13" ht="42.75" customHeight="1" x14ac:dyDescent="0.25">
      <c r="A1225" s="260"/>
      <c r="B1225" s="85" t="s">
        <v>186</v>
      </c>
      <c r="C1225" s="86" t="s">
        <v>42</v>
      </c>
      <c r="D1225" s="83">
        <v>0.08</v>
      </c>
      <c r="E1225" s="180">
        <v>120250</v>
      </c>
      <c r="F1225" s="185">
        <f t="shared" ref="F1225:F1226" si="81">ROUND(D1225*E1225,)</f>
        <v>9620</v>
      </c>
      <c r="H1225" s="37"/>
      <c r="I1225" s="255"/>
      <c r="J1225" s="58"/>
      <c r="K1225" s="242"/>
      <c r="L1225" s="242"/>
      <c r="M1225" s="37"/>
    </row>
    <row r="1226" spans="1:13" ht="17.25" customHeight="1" thickBot="1" x14ac:dyDescent="0.3">
      <c r="A1226" s="77"/>
      <c r="B1226" s="78" t="s">
        <v>125</v>
      </c>
      <c r="C1226" s="79" t="s">
        <v>49</v>
      </c>
      <c r="D1226" s="80">
        <v>4.1500000000000004</v>
      </c>
      <c r="E1226" s="192">
        <v>6443</v>
      </c>
      <c r="F1226" s="189">
        <f t="shared" si="81"/>
        <v>26738</v>
      </c>
      <c r="J1226" s="37"/>
      <c r="K1226" s="37"/>
    </row>
    <row r="1227" spans="1:13" ht="15.75" thickBot="1" x14ac:dyDescent="0.3">
      <c r="A1227" s="6"/>
      <c r="B1227" s="36"/>
      <c r="C1227" s="37"/>
      <c r="D1227" s="37"/>
      <c r="E1227" s="39" t="s">
        <v>24</v>
      </c>
      <c r="F1227" s="190">
        <f>SUM(F1225:F1226)</f>
        <v>36358</v>
      </c>
      <c r="J1227" s="37"/>
      <c r="K1227" s="37"/>
    </row>
    <row r="1228" spans="1:13" ht="15.75" thickBot="1" x14ac:dyDescent="0.3">
      <c r="A1228" s="6"/>
      <c r="B1228" s="36"/>
      <c r="C1228" s="37"/>
      <c r="D1228" s="37"/>
      <c r="E1228" s="37"/>
      <c r="F1228" s="7"/>
      <c r="J1228" s="37"/>
      <c r="K1228" s="37"/>
    </row>
    <row r="1229" spans="1:13" ht="15.75" thickBot="1" x14ac:dyDescent="0.3">
      <c r="A1229" s="33" t="s">
        <v>12</v>
      </c>
      <c r="B1229" s="264" t="s">
        <v>25</v>
      </c>
      <c r="C1229" s="34" t="s">
        <v>126</v>
      </c>
      <c r="D1229" s="259" t="s">
        <v>126</v>
      </c>
      <c r="E1229" s="259" t="s">
        <v>126</v>
      </c>
      <c r="F1229" s="352">
        <f>F1227+F1221+F1216</f>
        <v>57568</v>
      </c>
    </row>
    <row r="1230" spans="1:13" ht="15.75" thickBot="1" x14ac:dyDescent="0.3"/>
    <row r="1231" spans="1:13" ht="45" customHeight="1" x14ac:dyDescent="0.25">
      <c r="A1231" s="1" t="s">
        <v>47</v>
      </c>
      <c r="B1231" s="355" t="s">
        <v>202</v>
      </c>
      <c r="C1231" s="355"/>
      <c r="D1231" s="355"/>
      <c r="E1231" s="265" t="s">
        <v>121</v>
      </c>
      <c r="F1231" s="146" t="s">
        <v>15</v>
      </c>
    </row>
    <row r="1232" spans="1:13" ht="15.75" thickBot="1" x14ac:dyDescent="0.3">
      <c r="A1232" s="70" t="s">
        <v>9</v>
      </c>
      <c r="B1232" s="71">
        <v>5.5</v>
      </c>
      <c r="C1232" s="10"/>
      <c r="D1232" s="11"/>
      <c r="E1232" s="10"/>
      <c r="F1232" s="72" t="s">
        <v>40</v>
      </c>
    </row>
    <row r="1233" spans="1:6" ht="15.75" thickBot="1" x14ac:dyDescent="0.3">
      <c r="A1233" s="6"/>
      <c r="B1233" s="36"/>
      <c r="C1233" s="37"/>
      <c r="D1233" s="38"/>
      <c r="E1233" s="37"/>
      <c r="F1233" s="7"/>
    </row>
    <row r="1234" spans="1:6" ht="15.75" thickBot="1" x14ac:dyDescent="0.3">
      <c r="A1234" s="33" t="s">
        <v>179</v>
      </c>
      <c r="B1234" s="40" t="s">
        <v>47</v>
      </c>
      <c r="C1234" s="34" t="s">
        <v>15</v>
      </c>
      <c r="D1234" s="35" t="s">
        <v>16</v>
      </c>
      <c r="E1234" s="34" t="s">
        <v>17</v>
      </c>
      <c r="F1234" s="41" t="s">
        <v>18</v>
      </c>
    </row>
    <row r="1235" spans="1:6" ht="15.75" thickBot="1" x14ac:dyDescent="0.3">
      <c r="A1235" s="6"/>
      <c r="B1235" s="36"/>
      <c r="C1235" s="37"/>
      <c r="D1235" s="38"/>
      <c r="E1235" s="37"/>
      <c r="F1235" s="7"/>
    </row>
    <row r="1236" spans="1:6" ht="15.75" thickBot="1" x14ac:dyDescent="0.3">
      <c r="A1236" s="1" t="s">
        <v>19</v>
      </c>
      <c r="B1236" s="13"/>
      <c r="C1236" s="14"/>
      <c r="D1236" s="15"/>
      <c r="E1236" s="14"/>
      <c r="F1236" s="16"/>
    </row>
    <row r="1237" spans="1:6" ht="75" x14ac:dyDescent="0.25">
      <c r="A1237" s="95"/>
      <c r="B1237" s="96" t="s">
        <v>203</v>
      </c>
      <c r="C1237" s="97" t="s">
        <v>29</v>
      </c>
      <c r="D1237" s="20">
        <v>1</v>
      </c>
      <c r="E1237" s="197">
        <v>81000</v>
      </c>
      <c r="F1237" s="184">
        <f>ROUND(D1237*E1237,)</f>
        <v>81000</v>
      </c>
    </row>
    <row r="1238" spans="1:6" ht="15.75" thickBot="1" x14ac:dyDescent="0.3">
      <c r="A1238" s="23"/>
      <c r="B1238" s="24"/>
      <c r="C1238" s="25"/>
      <c r="D1238" s="26"/>
      <c r="E1238" s="181"/>
      <c r="F1238" s="189">
        <f>ROUND(D1238*E1238,)</f>
        <v>0</v>
      </c>
    </row>
    <row r="1239" spans="1:6" ht="15.75" thickBot="1" x14ac:dyDescent="0.3">
      <c r="A1239" s="6"/>
      <c r="B1239" s="36"/>
      <c r="C1239" s="37"/>
      <c r="D1239" s="38"/>
      <c r="E1239" s="39" t="s">
        <v>20</v>
      </c>
      <c r="F1239" s="187">
        <f>+F1237+F1238</f>
        <v>81000</v>
      </c>
    </row>
    <row r="1240" spans="1:6" ht="15.75" thickBot="1" x14ac:dyDescent="0.3">
      <c r="A1240" s="6"/>
      <c r="B1240" s="36"/>
      <c r="C1240" s="37"/>
      <c r="D1240" s="38"/>
      <c r="E1240" s="37"/>
      <c r="F1240" s="7"/>
    </row>
    <row r="1241" spans="1:6" ht="15.75" thickBot="1" x14ac:dyDescent="0.3">
      <c r="A1241" s="44" t="s">
        <v>21</v>
      </c>
      <c r="B1241" s="45"/>
      <c r="C1241" s="46"/>
      <c r="D1241" s="47"/>
      <c r="E1241" s="46"/>
      <c r="F1241" s="48"/>
    </row>
    <row r="1242" spans="1:6" x14ac:dyDescent="0.25">
      <c r="A1242" s="122"/>
      <c r="B1242" s="87"/>
      <c r="C1242" s="88"/>
      <c r="D1242" s="123"/>
      <c r="E1242" s="182"/>
      <c r="F1242" s="210">
        <f t="shared" ref="F1242:F1243" si="82">ROUND(D1242*E1242,)</f>
        <v>0</v>
      </c>
    </row>
    <row r="1243" spans="1:6" ht="15.75" thickBot="1" x14ac:dyDescent="0.3">
      <c r="A1243" s="23"/>
      <c r="B1243" s="24" t="s">
        <v>34</v>
      </c>
      <c r="C1243" s="25" t="s">
        <v>35</v>
      </c>
      <c r="D1243" s="26">
        <v>4.5</v>
      </c>
      <c r="E1243" s="192">
        <v>2210</v>
      </c>
      <c r="F1243" s="186">
        <f t="shared" si="82"/>
        <v>9945</v>
      </c>
    </row>
    <row r="1244" spans="1:6" ht="15.75" thickBot="1" x14ac:dyDescent="0.3">
      <c r="A1244" s="6"/>
      <c r="B1244" s="36"/>
      <c r="C1244" s="37"/>
      <c r="D1244" s="38"/>
      <c r="E1244" s="39" t="s">
        <v>22</v>
      </c>
      <c r="F1244" s="187">
        <f>SUM(F1242:F1243)</f>
        <v>9945</v>
      </c>
    </row>
    <row r="1245" spans="1:6" ht="15.75" thickBot="1" x14ac:dyDescent="0.3">
      <c r="A1245" s="6"/>
      <c r="B1245" s="36"/>
      <c r="C1245" s="37"/>
      <c r="D1245" s="38"/>
      <c r="E1245" s="37"/>
      <c r="F1245" s="7"/>
    </row>
    <row r="1246" spans="1:6" ht="15.75" thickBot="1" x14ac:dyDescent="0.3">
      <c r="A1246" s="44" t="s">
        <v>23</v>
      </c>
      <c r="B1246" s="45"/>
      <c r="C1246" s="46"/>
      <c r="D1246" s="47"/>
      <c r="E1246" s="46"/>
      <c r="F1246" s="48"/>
    </row>
    <row r="1247" spans="1:6" x14ac:dyDescent="0.25">
      <c r="A1247" s="17"/>
      <c r="B1247" s="96"/>
      <c r="C1247" s="97"/>
      <c r="D1247" s="101"/>
      <c r="E1247" s="218"/>
      <c r="F1247" s="216">
        <f>ROUND(D1247*E1247,)</f>
        <v>0</v>
      </c>
    </row>
    <row r="1248" spans="1:6" x14ac:dyDescent="0.25">
      <c r="A1248" s="92"/>
      <c r="B1248" s="231" t="s">
        <v>204</v>
      </c>
      <c r="C1248" s="142" t="s">
        <v>40</v>
      </c>
      <c r="D1248" s="83">
        <v>1</v>
      </c>
      <c r="E1248" s="182">
        <v>83000</v>
      </c>
      <c r="F1248" s="188">
        <f>ROUND(D1248*E1248,)</f>
        <v>83000</v>
      </c>
    </row>
    <row r="1249" spans="1:6" ht="15.75" thickBot="1" x14ac:dyDescent="0.3">
      <c r="A1249" s="30"/>
      <c r="B1249" s="24" t="s">
        <v>192</v>
      </c>
      <c r="C1249" s="25" t="s">
        <v>40</v>
      </c>
      <c r="D1249" s="80">
        <v>1</v>
      </c>
      <c r="E1249" s="192">
        <v>2925</v>
      </c>
      <c r="F1249" s="217">
        <f>ROUND(D1249*E1249,)</f>
        <v>2925</v>
      </c>
    </row>
    <row r="1250" spans="1:6" ht="15.75" thickBot="1" x14ac:dyDescent="0.3">
      <c r="A1250" s="6"/>
      <c r="B1250" s="50"/>
      <c r="C1250" s="61"/>
      <c r="D1250" s="37"/>
      <c r="E1250" s="39" t="s">
        <v>24</v>
      </c>
      <c r="F1250" s="190">
        <f>SUM(F1247:F1249)</f>
        <v>85925</v>
      </c>
    </row>
    <row r="1251" spans="1:6" ht="15.75" thickBot="1" x14ac:dyDescent="0.3">
      <c r="A1251" s="155"/>
      <c r="B1251" s="9"/>
      <c r="C1251" s="156"/>
      <c r="D1251" s="10"/>
      <c r="E1251" s="39"/>
      <c r="F1251" s="144"/>
    </row>
    <row r="1252" spans="1:6" ht="15.75" thickBot="1" x14ac:dyDescent="0.3">
      <c r="A1252" s="69" t="s">
        <v>12</v>
      </c>
      <c r="B1252" s="64" t="s">
        <v>25</v>
      </c>
      <c r="C1252" s="65"/>
      <c r="D1252" s="66"/>
      <c r="E1252" s="67"/>
      <c r="F1252" s="351">
        <f>+F1250+F1244+F1239</f>
        <v>176870</v>
      </c>
    </row>
    <row r="1253" spans="1:6" ht="15.75" thickBot="1" x14ac:dyDescent="0.3"/>
    <row r="1254" spans="1:6" ht="46.5" customHeight="1" x14ac:dyDescent="0.25">
      <c r="A1254" s="1" t="s">
        <v>47</v>
      </c>
      <c r="B1254" s="355" t="s">
        <v>205</v>
      </c>
      <c r="C1254" s="355"/>
      <c r="D1254" s="355"/>
      <c r="E1254" s="265" t="s">
        <v>121</v>
      </c>
      <c r="F1254" s="146" t="s">
        <v>15</v>
      </c>
    </row>
    <row r="1255" spans="1:6" ht="15.75" thickBot="1" x14ac:dyDescent="0.3">
      <c r="A1255" s="70" t="s">
        <v>9</v>
      </c>
      <c r="B1255" s="71">
        <v>5.6</v>
      </c>
      <c r="C1255" s="10"/>
      <c r="D1255" s="11"/>
      <c r="E1255" s="10"/>
      <c r="F1255" s="72" t="s">
        <v>40</v>
      </c>
    </row>
    <row r="1256" spans="1:6" ht="15.75" thickBot="1" x14ac:dyDescent="0.3">
      <c r="A1256" s="6"/>
      <c r="B1256" s="36"/>
      <c r="C1256" s="37"/>
      <c r="D1256" s="38"/>
      <c r="E1256" s="37"/>
      <c r="F1256" s="7"/>
    </row>
    <row r="1257" spans="1:6" ht="15.75" thickBot="1" x14ac:dyDescent="0.3">
      <c r="A1257" s="33" t="s">
        <v>179</v>
      </c>
      <c r="B1257" s="40" t="s">
        <v>47</v>
      </c>
      <c r="C1257" s="34" t="s">
        <v>15</v>
      </c>
      <c r="D1257" s="35" t="s">
        <v>16</v>
      </c>
      <c r="E1257" s="34" t="s">
        <v>17</v>
      </c>
      <c r="F1257" s="41" t="s">
        <v>18</v>
      </c>
    </row>
    <row r="1258" spans="1:6" ht="15.75" thickBot="1" x14ac:dyDescent="0.3">
      <c r="A1258" s="6"/>
      <c r="B1258" s="36"/>
      <c r="C1258" s="37"/>
      <c r="D1258" s="38"/>
      <c r="E1258" s="37"/>
      <c r="F1258" s="7"/>
    </row>
    <row r="1259" spans="1:6" ht="15.75" thickBot="1" x14ac:dyDescent="0.3">
      <c r="A1259" s="1" t="s">
        <v>19</v>
      </c>
      <c r="B1259" s="13"/>
      <c r="C1259" s="14"/>
      <c r="D1259" s="15"/>
      <c r="E1259" s="14"/>
      <c r="F1259" s="16"/>
    </row>
    <row r="1260" spans="1:6" ht="75" x14ac:dyDescent="0.25">
      <c r="A1260" s="95"/>
      <c r="B1260" s="96" t="s">
        <v>206</v>
      </c>
      <c r="C1260" s="97" t="s">
        <v>29</v>
      </c>
      <c r="D1260" s="20">
        <v>1</v>
      </c>
      <c r="E1260" s="197">
        <v>81000</v>
      </c>
      <c r="F1260" s="184">
        <f>ROUND(D1260*E1260,)</f>
        <v>81000</v>
      </c>
    </row>
    <row r="1261" spans="1:6" ht="15.75" thickBot="1" x14ac:dyDescent="0.3">
      <c r="A1261" s="23"/>
      <c r="B1261" s="24"/>
      <c r="C1261" s="25"/>
      <c r="D1261" s="26"/>
      <c r="E1261" s="181"/>
      <c r="F1261" s="189">
        <f>ROUND(D1261*E1261,)</f>
        <v>0</v>
      </c>
    </row>
    <row r="1262" spans="1:6" ht="15.75" thickBot="1" x14ac:dyDescent="0.3">
      <c r="A1262" s="6"/>
      <c r="B1262" s="36"/>
      <c r="C1262" s="37"/>
      <c r="D1262" s="38"/>
      <c r="E1262" s="39" t="s">
        <v>20</v>
      </c>
      <c r="F1262" s="187">
        <f>+F1260+F1261</f>
        <v>81000</v>
      </c>
    </row>
    <row r="1263" spans="1:6" ht="15.75" thickBot="1" x14ac:dyDescent="0.3">
      <c r="A1263" s="6"/>
      <c r="B1263" s="36"/>
      <c r="C1263" s="37"/>
      <c r="D1263" s="38"/>
      <c r="E1263" s="37"/>
      <c r="F1263" s="7"/>
    </row>
    <row r="1264" spans="1:6" ht="15.75" thickBot="1" x14ac:dyDescent="0.3">
      <c r="A1264" s="44" t="s">
        <v>21</v>
      </c>
      <c r="B1264" s="45"/>
      <c r="C1264" s="46"/>
      <c r="D1264" s="47"/>
      <c r="E1264" s="46"/>
      <c r="F1264" s="48"/>
    </row>
    <row r="1265" spans="1:6" x14ac:dyDescent="0.25">
      <c r="A1265" s="122"/>
      <c r="B1265" s="87"/>
      <c r="C1265" s="88"/>
      <c r="D1265" s="123"/>
      <c r="E1265" s="182"/>
      <c r="F1265" s="124">
        <f t="shared" ref="F1265:F1267" si="83">ROUND(D1265*E1265,)</f>
        <v>0</v>
      </c>
    </row>
    <row r="1266" spans="1:6" x14ac:dyDescent="0.25">
      <c r="A1266" s="108"/>
      <c r="B1266" s="43"/>
      <c r="C1266" s="82"/>
      <c r="D1266" s="115"/>
      <c r="E1266" s="180"/>
      <c r="F1266" s="121">
        <f t="shared" si="83"/>
        <v>0</v>
      </c>
    </row>
    <row r="1267" spans="1:6" ht="15.75" thickBot="1" x14ac:dyDescent="0.3">
      <c r="A1267" s="23"/>
      <c r="B1267" s="24" t="s">
        <v>34</v>
      </c>
      <c r="C1267" s="25" t="s">
        <v>35</v>
      </c>
      <c r="D1267" s="26">
        <v>4.5</v>
      </c>
      <c r="E1267" s="192">
        <v>2925</v>
      </c>
      <c r="F1267" s="28">
        <f t="shared" si="83"/>
        <v>13163</v>
      </c>
    </row>
    <row r="1268" spans="1:6" ht="15.75" thickBot="1" x14ac:dyDescent="0.3">
      <c r="A1268" s="6"/>
      <c r="B1268" s="36"/>
      <c r="C1268" s="37"/>
      <c r="D1268" s="38"/>
      <c r="E1268" s="39" t="s">
        <v>22</v>
      </c>
      <c r="F1268" s="29">
        <f>SUM(F1265:F1267)</f>
        <v>13163</v>
      </c>
    </row>
    <row r="1269" spans="1:6" ht="15.75" thickBot="1" x14ac:dyDescent="0.3">
      <c r="A1269" s="6"/>
      <c r="B1269" s="36"/>
      <c r="C1269" s="37"/>
      <c r="D1269" s="38"/>
      <c r="E1269" s="37"/>
      <c r="F1269" s="7"/>
    </row>
    <row r="1270" spans="1:6" ht="15.75" thickBot="1" x14ac:dyDescent="0.3">
      <c r="A1270" s="44" t="s">
        <v>23</v>
      </c>
      <c r="B1270" s="45"/>
      <c r="C1270" s="46"/>
      <c r="D1270" s="47"/>
      <c r="E1270" s="46"/>
      <c r="F1270" s="48"/>
    </row>
    <row r="1271" spans="1:6" x14ac:dyDescent="0.25">
      <c r="A1271" s="17"/>
      <c r="B1271" s="232"/>
      <c r="C1271" s="97"/>
      <c r="D1271" s="101"/>
      <c r="E1271" s="218"/>
      <c r="F1271" s="216">
        <f>ROUND(D1271*E1271,)</f>
        <v>0</v>
      </c>
    </row>
    <row r="1272" spans="1:6" ht="93" customHeight="1" x14ac:dyDescent="0.25">
      <c r="A1272" s="92"/>
      <c r="B1272" s="85" t="s">
        <v>230</v>
      </c>
      <c r="C1272" s="142" t="s">
        <v>40</v>
      </c>
      <c r="D1272" s="83">
        <v>1</v>
      </c>
      <c r="E1272" s="182">
        <v>369070</v>
      </c>
      <c r="F1272" s="188">
        <f>ROUND(D1272*E1272,)</f>
        <v>369070</v>
      </c>
    </row>
    <row r="1273" spans="1:6" ht="15.75" thickBot="1" x14ac:dyDescent="0.3">
      <c r="A1273" s="30"/>
      <c r="B1273" s="24" t="s">
        <v>192</v>
      </c>
      <c r="C1273" s="25" t="s">
        <v>40</v>
      </c>
      <c r="D1273" s="80">
        <v>1</v>
      </c>
      <c r="E1273" s="192">
        <v>2925</v>
      </c>
      <c r="F1273" s="217">
        <f>ROUND(D1273*E1273,)</f>
        <v>2925</v>
      </c>
    </row>
    <row r="1274" spans="1:6" ht="15.75" thickBot="1" x14ac:dyDescent="0.3">
      <c r="A1274" s="6"/>
      <c r="B1274" s="50"/>
      <c r="C1274" s="61"/>
      <c r="D1274" s="37"/>
      <c r="E1274" s="39" t="s">
        <v>24</v>
      </c>
      <c r="F1274" s="190">
        <f>SUM(F1271:F1273)</f>
        <v>371995</v>
      </c>
    </row>
    <row r="1275" spans="1:6" ht="15.75" thickBot="1" x14ac:dyDescent="0.3">
      <c r="A1275" s="155"/>
      <c r="B1275" s="9"/>
      <c r="C1275" s="156"/>
      <c r="D1275" s="10"/>
      <c r="E1275" s="39"/>
      <c r="F1275" s="144"/>
    </row>
    <row r="1276" spans="1:6" ht="15.75" thickBot="1" x14ac:dyDescent="0.3">
      <c r="A1276" s="69" t="s">
        <v>12</v>
      </c>
      <c r="B1276" s="64" t="s">
        <v>25</v>
      </c>
      <c r="C1276" s="65"/>
      <c r="D1276" s="66"/>
      <c r="E1276" s="67"/>
      <c r="F1276" s="351">
        <f>+F1274+F1268+F1262</f>
        <v>466158</v>
      </c>
    </row>
    <row r="1277" spans="1:6" ht="15.75" thickBot="1" x14ac:dyDescent="0.3"/>
    <row r="1278" spans="1:6" ht="45" customHeight="1" x14ac:dyDescent="0.25">
      <c r="A1278" s="1" t="s">
        <v>47</v>
      </c>
      <c r="B1278" s="355" t="s">
        <v>207</v>
      </c>
      <c r="C1278" s="355"/>
      <c r="D1278" s="355"/>
      <c r="E1278" s="265" t="s">
        <v>121</v>
      </c>
      <c r="F1278" s="146" t="s">
        <v>15</v>
      </c>
    </row>
    <row r="1279" spans="1:6" ht="15.75" thickBot="1" x14ac:dyDescent="0.3">
      <c r="A1279" s="70" t="s">
        <v>9</v>
      </c>
      <c r="B1279" s="71">
        <v>5.7</v>
      </c>
      <c r="C1279" s="10"/>
      <c r="D1279" s="11"/>
      <c r="E1279" s="10"/>
      <c r="F1279" s="72" t="s">
        <v>40</v>
      </c>
    </row>
    <row r="1280" spans="1:6" ht="15.75" thickBot="1" x14ac:dyDescent="0.3">
      <c r="A1280" s="6"/>
      <c r="B1280" s="36"/>
      <c r="C1280" s="37"/>
      <c r="D1280" s="38"/>
      <c r="E1280" s="37"/>
      <c r="F1280" s="7"/>
    </row>
    <row r="1281" spans="1:6" ht="15.75" thickBot="1" x14ac:dyDescent="0.3">
      <c r="A1281" s="33" t="s">
        <v>179</v>
      </c>
      <c r="B1281" s="40" t="s">
        <v>47</v>
      </c>
      <c r="C1281" s="34" t="s">
        <v>15</v>
      </c>
      <c r="D1281" s="35" t="s">
        <v>16</v>
      </c>
      <c r="E1281" s="34" t="s">
        <v>17</v>
      </c>
      <c r="F1281" s="41" t="s">
        <v>18</v>
      </c>
    </row>
    <row r="1282" spans="1:6" ht="15.75" thickBot="1" x14ac:dyDescent="0.3">
      <c r="A1282" s="6"/>
      <c r="B1282" s="36"/>
      <c r="C1282" s="37"/>
      <c r="D1282" s="38"/>
      <c r="E1282" s="37"/>
      <c r="F1282" s="7"/>
    </row>
    <row r="1283" spans="1:6" ht="15.75" thickBot="1" x14ac:dyDescent="0.3">
      <c r="A1283" s="1" t="s">
        <v>19</v>
      </c>
      <c r="B1283" s="13"/>
      <c r="C1283" s="14"/>
      <c r="D1283" s="15"/>
      <c r="E1283" s="14"/>
      <c r="F1283" s="16"/>
    </row>
    <row r="1284" spans="1:6" ht="75" x14ac:dyDescent="0.25">
      <c r="A1284" s="95"/>
      <c r="B1284" s="96" t="s">
        <v>208</v>
      </c>
      <c r="C1284" s="97" t="s">
        <v>29</v>
      </c>
      <c r="D1284" s="20">
        <v>1</v>
      </c>
      <c r="E1284" s="197">
        <v>81000</v>
      </c>
      <c r="F1284" s="184">
        <f>ROUND(D1284*E1284,)</f>
        <v>81000</v>
      </c>
    </row>
    <row r="1285" spans="1:6" ht="15.75" thickBot="1" x14ac:dyDescent="0.3">
      <c r="A1285" s="23"/>
      <c r="B1285" s="24"/>
      <c r="C1285" s="25"/>
      <c r="D1285" s="26"/>
      <c r="E1285" s="181"/>
      <c r="F1285" s="189">
        <f>ROUND(D1285*E1285,)</f>
        <v>0</v>
      </c>
    </row>
    <row r="1286" spans="1:6" ht="15.75" thickBot="1" x14ac:dyDescent="0.3">
      <c r="A1286" s="6"/>
      <c r="B1286" s="36"/>
      <c r="C1286" s="37"/>
      <c r="D1286" s="38"/>
      <c r="E1286" s="39" t="s">
        <v>20</v>
      </c>
      <c r="F1286" s="187">
        <f>+F1284+F1285</f>
        <v>81000</v>
      </c>
    </row>
    <row r="1287" spans="1:6" ht="15.75" thickBot="1" x14ac:dyDescent="0.3">
      <c r="A1287" s="6"/>
      <c r="B1287" s="36"/>
      <c r="C1287" s="37"/>
      <c r="D1287" s="38"/>
      <c r="E1287" s="37"/>
      <c r="F1287" s="7"/>
    </row>
    <row r="1288" spans="1:6" ht="15.75" thickBot="1" x14ac:dyDescent="0.3">
      <c r="A1288" s="44" t="s">
        <v>21</v>
      </c>
      <c r="B1288" s="45"/>
      <c r="C1288" s="46"/>
      <c r="D1288" s="47"/>
      <c r="E1288" s="46"/>
      <c r="F1288" s="48"/>
    </row>
    <row r="1289" spans="1:6" x14ac:dyDescent="0.25">
      <c r="A1289" s="122"/>
      <c r="B1289" s="87"/>
      <c r="C1289" s="88"/>
      <c r="D1289" s="123"/>
      <c r="E1289" s="182"/>
      <c r="F1289" s="210">
        <f t="shared" ref="F1289:F1291" si="84">ROUND(D1289*E1289,)</f>
        <v>0</v>
      </c>
    </row>
    <row r="1290" spans="1:6" x14ac:dyDescent="0.25">
      <c r="A1290" s="108"/>
      <c r="B1290" s="43"/>
      <c r="C1290" s="82"/>
      <c r="D1290" s="115"/>
      <c r="E1290" s="180"/>
      <c r="F1290" s="196">
        <f t="shared" si="84"/>
        <v>0</v>
      </c>
    </row>
    <row r="1291" spans="1:6" ht="15.75" thickBot="1" x14ac:dyDescent="0.3">
      <c r="A1291" s="23"/>
      <c r="B1291" s="24" t="s">
        <v>34</v>
      </c>
      <c r="C1291" s="25" t="s">
        <v>35</v>
      </c>
      <c r="D1291" s="26">
        <v>4.5</v>
      </c>
      <c r="E1291" s="192">
        <v>2925</v>
      </c>
      <c r="F1291" s="186">
        <f t="shared" si="84"/>
        <v>13163</v>
      </c>
    </row>
    <row r="1292" spans="1:6" ht="15.75" thickBot="1" x14ac:dyDescent="0.3">
      <c r="A1292" s="6"/>
      <c r="B1292" s="36"/>
      <c r="C1292" s="37"/>
      <c r="D1292" s="38"/>
      <c r="E1292" s="39" t="s">
        <v>22</v>
      </c>
      <c r="F1292" s="187">
        <f>SUM(F1289:F1291)</f>
        <v>13163</v>
      </c>
    </row>
    <row r="1293" spans="1:6" ht="15.75" thickBot="1" x14ac:dyDescent="0.3">
      <c r="A1293" s="6"/>
      <c r="B1293" s="36"/>
      <c r="C1293" s="37"/>
      <c r="D1293" s="38"/>
      <c r="E1293" s="37"/>
      <c r="F1293" s="7"/>
    </row>
    <row r="1294" spans="1:6" ht="15.75" thickBot="1" x14ac:dyDescent="0.3">
      <c r="A1294" s="44" t="s">
        <v>23</v>
      </c>
      <c r="B1294" s="45"/>
      <c r="C1294" s="46"/>
      <c r="D1294" s="47"/>
      <c r="E1294" s="46"/>
      <c r="F1294" s="48"/>
    </row>
    <row r="1295" spans="1:6" x14ac:dyDescent="0.25">
      <c r="A1295" s="17"/>
      <c r="B1295" s="232"/>
      <c r="C1295" s="97"/>
      <c r="D1295" s="101"/>
      <c r="E1295" s="218"/>
      <c r="F1295" s="216">
        <f>ROUND(D1295*E1295,)</f>
        <v>0</v>
      </c>
    </row>
    <row r="1296" spans="1:6" ht="45" x14ac:dyDescent="0.25">
      <c r="A1296" s="92"/>
      <c r="B1296" s="85" t="s">
        <v>231</v>
      </c>
      <c r="C1296" s="142" t="s">
        <v>40</v>
      </c>
      <c r="D1296" s="83">
        <v>1</v>
      </c>
      <c r="E1296" s="182">
        <v>581191</v>
      </c>
      <c r="F1296" s="188">
        <f>ROUND(D1296*E1296,)</f>
        <v>581191</v>
      </c>
    </row>
    <row r="1297" spans="1:6" ht="15.75" thickBot="1" x14ac:dyDescent="0.3">
      <c r="A1297" s="30"/>
      <c r="B1297" s="24" t="s">
        <v>192</v>
      </c>
      <c r="C1297" s="25" t="s">
        <v>40</v>
      </c>
      <c r="D1297" s="80">
        <v>0.3</v>
      </c>
      <c r="E1297" s="192">
        <v>2925</v>
      </c>
      <c r="F1297" s="217">
        <f>ROUND(D1297*E1297,)</f>
        <v>878</v>
      </c>
    </row>
    <row r="1298" spans="1:6" ht="15.75" thickBot="1" x14ac:dyDescent="0.3">
      <c r="A1298" s="6"/>
      <c r="B1298" s="50"/>
      <c r="C1298" s="61"/>
      <c r="D1298" s="37"/>
      <c r="E1298" s="39" t="s">
        <v>24</v>
      </c>
      <c r="F1298" s="190">
        <f>SUM(F1295:F1297)</f>
        <v>582069</v>
      </c>
    </row>
    <row r="1299" spans="1:6" ht="15.75" thickBot="1" x14ac:dyDescent="0.3">
      <c r="A1299" s="155"/>
      <c r="B1299" s="9"/>
      <c r="C1299" s="156"/>
      <c r="D1299" s="10"/>
      <c r="E1299" s="39"/>
      <c r="F1299" s="144"/>
    </row>
    <row r="1300" spans="1:6" ht="15.75" thickBot="1" x14ac:dyDescent="0.3">
      <c r="A1300" s="69" t="s">
        <v>12</v>
      </c>
      <c r="B1300" s="64" t="s">
        <v>25</v>
      </c>
      <c r="C1300" s="65"/>
      <c r="D1300" s="66"/>
      <c r="E1300" s="67"/>
      <c r="F1300" s="351">
        <f>+F1298+F1292+F1286</f>
        <v>676232</v>
      </c>
    </row>
    <row r="1301" spans="1:6" ht="15.75" thickBot="1" x14ac:dyDescent="0.3"/>
    <row r="1302" spans="1:6" x14ac:dyDescent="0.25">
      <c r="A1302" s="1" t="s">
        <v>47</v>
      </c>
      <c r="B1302" s="355" t="s">
        <v>173</v>
      </c>
      <c r="C1302" s="355"/>
      <c r="D1302" s="355"/>
      <c r="E1302" s="265" t="s">
        <v>121</v>
      </c>
      <c r="F1302" s="146" t="s">
        <v>15</v>
      </c>
    </row>
    <row r="1303" spans="1:6" ht="15.75" thickBot="1" x14ac:dyDescent="0.3">
      <c r="A1303" s="70" t="s">
        <v>9</v>
      </c>
      <c r="B1303" s="71">
        <v>5.8</v>
      </c>
      <c r="C1303" s="10"/>
      <c r="D1303" s="11"/>
      <c r="E1303" s="10"/>
      <c r="F1303" s="72" t="s">
        <v>40</v>
      </c>
    </row>
    <row r="1304" spans="1:6" ht="15.75" thickBot="1" x14ac:dyDescent="0.3">
      <c r="A1304" s="6"/>
      <c r="B1304" s="36"/>
      <c r="C1304" s="37"/>
      <c r="D1304" s="38"/>
      <c r="E1304" s="37"/>
      <c r="F1304" s="7"/>
    </row>
    <row r="1305" spans="1:6" ht="15.75" thickBot="1" x14ac:dyDescent="0.3">
      <c r="A1305" s="33" t="s">
        <v>179</v>
      </c>
      <c r="B1305" s="40" t="s">
        <v>47</v>
      </c>
      <c r="C1305" s="34" t="s">
        <v>15</v>
      </c>
      <c r="D1305" s="35" t="s">
        <v>16</v>
      </c>
      <c r="E1305" s="34" t="s">
        <v>17</v>
      </c>
      <c r="F1305" s="41" t="s">
        <v>18</v>
      </c>
    </row>
    <row r="1306" spans="1:6" ht="15.75" thickBot="1" x14ac:dyDescent="0.3">
      <c r="A1306" s="6"/>
      <c r="B1306" s="36"/>
      <c r="C1306" s="37"/>
      <c r="D1306" s="38"/>
      <c r="E1306" s="37"/>
      <c r="F1306" s="7"/>
    </row>
    <row r="1307" spans="1:6" ht="15.75" thickBot="1" x14ac:dyDescent="0.3">
      <c r="A1307" s="1" t="s">
        <v>19</v>
      </c>
      <c r="B1307" s="13"/>
      <c r="C1307" s="14"/>
      <c r="D1307" s="15"/>
      <c r="E1307" s="14"/>
      <c r="F1307" s="16"/>
    </row>
    <row r="1308" spans="1:6" ht="30" x14ac:dyDescent="0.25">
      <c r="A1308" s="95"/>
      <c r="B1308" s="96" t="s">
        <v>127</v>
      </c>
      <c r="C1308" s="97" t="s">
        <v>29</v>
      </c>
      <c r="D1308" s="20">
        <v>0.3</v>
      </c>
      <c r="E1308" s="183">
        <v>107033</v>
      </c>
      <c r="F1308" s="184">
        <f>ROUND(D1308*E1308,)</f>
        <v>32110</v>
      </c>
    </row>
    <row r="1309" spans="1:6" ht="15.75" thickBot="1" x14ac:dyDescent="0.3">
      <c r="A1309" s="23"/>
      <c r="B1309" s="78" t="s">
        <v>98</v>
      </c>
      <c r="C1309" s="79" t="s">
        <v>29</v>
      </c>
      <c r="D1309" s="80">
        <v>0.3</v>
      </c>
      <c r="E1309" s="192">
        <v>172900</v>
      </c>
      <c r="F1309" s="189">
        <f>ROUND(D1309*E1309,)</f>
        <v>51870</v>
      </c>
    </row>
    <row r="1310" spans="1:6" ht="15.75" thickBot="1" x14ac:dyDescent="0.3">
      <c r="A1310" s="6"/>
      <c r="B1310" s="36"/>
      <c r="C1310" s="37"/>
      <c r="D1310" s="38"/>
      <c r="E1310" s="39" t="s">
        <v>20</v>
      </c>
      <c r="F1310" s="187">
        <f>+F1308+F1309</f>
        <v>83980</v>
      </c>
    </row>
    <row r="1311" spans="1:6" ht="15.75" thickBot="1" x14ac:dyDescent="0.3">
      <c r="A1311" s="6"/>
      <c r="B1311" s="36"/>
      <c r="C1311" s="37"/>
      <c r="D1311" s="38"/>
      <c r="E1311" s="37"/>
      <c r="F1311" s="7"/>
    </row>
    <row r="1312" spans="1:6" ht="15.75" thickBot="1" x14ac:dyDescent="0.3">
      <c r="A1312" s="44" t="s">
        <v>21</v>
      </c>
      <c r="B1312" s="45"/>
      <c r="C1312" s="46"/>
      <c r="D1312" s="47"/>
      <c r="E1312" s="46"/>
      <c r="F1312" s="48"/>
    </row>
    <row r="1313" spans="1:6" x14ac:dyDescent="0.25">
      <c r="A1313" s="122"/>
      <c r="B1313" s="87"/>
      <c r="C1313" s="88"/>
      <c r="D1313" s="123"/>
      <c r="E1313" s="182"/>
      <c r="F1313" s="210">
        <f t="shared" ref="F1313:F1314" si="85">ROUND(D1313*E1313,)</f>
        <v>0</v>
      </c>
    </row>
    <row r="1314" spans="1:6" ht="15.75" thickBot="1" x14ac:dyDescent="0.3">
      <c r="A1314" s="23"/>
      <c r="B1314" s="24" t="s">
        <v>34</v>
      </c>
      <c r="C1314" s="25" t="s">
        <v>35</v>
      </c>
      <c r="D1314" s="26">
        <v>1.1000000000000001</v>
      </c>
      <c r="E1314" s="192">
        <v>2210</v>
      </c>
      <c r="F1314" s="186">
        <f t="shared" si="85"/>
        <v>2431</v>
      </c>
    </row>
    <row r="1315" spans="1:6" ht="15.75" thickBot="1" x14ac:dyDescent="0.3">
      <c r="A1315" s="6"/>
      <c r="B1315" s="36"/>
      <c r="C1315" s="37"/>
      <c r="D1315" s="38"/>
      <c r="E1315" s="39" t="s">
        <v>22</v>
      </c>
      <c r="F1315" s="187">
        <f>SUM(F1313:F1314)</f>
        <v>2431</v>
      </c>
    </row>
    <row r="1316" spans="1:6" ht="15.75" thickBot="1" x14ac:dyDescent="0.3">
      <c r="A1316" s="6"/>
      <c r="B1316" s="36"/>
      <c r="C1316" s="37"/>
      <c r="D1316" s="38"/>
      <c r="E1316" s="37"/>
      <c r="F1316" s="7"/>
    </row>
    <row r="1317" spans="1:6" ht="15.75" thickBot="1" x14ac:dyDescent="0.3">
      <c r="A1317" s="44" t="s">
        <v>23</v>
      </c>
      <c r="B1317" s="45"/>
      <c r="C1317" s="46"/>
      <c r="D1317" s="47"/>
      <c r="E1317" s="46"/>
      <c r="F1317" s="48"/>
    </row>
    <row r="1318" spans="1:6" x14ac:dyDescent="0.25">
      <c r="A1318" s="17"/>
      <c r="B1318" s="96" t="s">
        <v>113</v>
      </c>
      <c r="C1318" s="97" t="s">
        <v>40</v>
      </c>
      <c r="D1318" s="101">
        <v>1</v>
      </c>
      <c r="E1318" s="218">
        <v>6760</v>
      </c>
      <c r="F1318" s="216">
        <f>ROUND(D1318*E1318,)</f>
        <v>6760</v>
      </c>
    </row>
    <row r="1319" spans="1:6" x14ac:dyDescent="0.25">
      <c r="A1319" s="92"/>
      <c r="B1319" s="85" t="s">
        <v>114</v>
      </c>
      <c r="C1319" s="86" t="s">
        <v>40</v>
      </c>
      <c r="D1319" s="100">
        <v>1</v>
      </c>
      <c r="E1319" s="235">
        <v>2990</v>
      </c>
      <c r="F1319" s="188">
        <f t="shared" ref="F1319:F1320" si="86">ROUND(D1319*E1319,)</f>
        <v>2990</v>
      </c>
    </row>
    <row r="1320" spans="1:6" x14ac:dyDescent="0.25">
      <c r="A1320" s="92"/>
      <c r="B1320" s="93" t="s">
        <v>115</v>
      </c>
      <c r="C1320" s="94" t="s">
        <v>33</v>
      </c>
      <c r="D1320" s="234">
        <v>1</v>
      </c>
      <c r="E1320" s="235">
        <v>9750</v>
      </c>
      <c r="F1320" s="188">
        <f t="shared" si="86"/>
        <v>9750</v>
      </c>
    </row>
    <row r="1321" spans="1:6" ht="30" x14ac:dyDescent="0.25">
      <c r="A1321" s="92"/>
      <c r="B1321" s="93" t="s">
        <v>116</v>
      </c>
      <c r="C1321" s="94" t="s">
        <v>40</v>
      </c>
      <c r="D1321" s="234">
        <v>1</v>
      </c>
      <c r="E1321" s="235">
        <v>8970</v>
      </c>
      <c r="F1321" s="188">
        <f>ROUND(D1321*E1321,)</f>
        <v>8970</v>
      </c>
    </row>
    <row r="1322" spans="1:6" x14ac:dyDescent="0.25">
      <c r="A1322" s="91"/>
      <c r="B1322" s="93" t="s">
        <v>117</v>
      </c>
      <c r="C1322" s="94" t="s">
        <v>118</v>
      </c>
      <c r="D1322" s="234">
        <v>7.0000000000000007E-2</v>
      </c>
      <c r="E1322" s="235">
        <v>28600</v>
      </c>
      <c r="F1322" s="188">
        <f>ROUND(D1322*E1322,)</f>
        <v>2002</v>
      </c>
    </row>
    <row r="1323" spans="1:6" ht="15.75" thickBot="1" x14ac:dyDescent="0.3">
      <c r="A1323" s="30"/>
      <c r="B1323" s="24"/>
      <c r="C1323" s="25"/>
      <c r="D1323" s="172"/>
      <c r="E1323" s="192"/>
      <c r="F1323" s="217">
        <f>ROUND(D1323*E1323,)</f>
        <v>0</v>
      </c>
    </row>
    <row r="1324" spans="1:6" ht="15.75" thickBot="1" x14ac:dyDescent="0.3">
      <c r="A1324" s="6"/>
      <c r="B1324" s="50"/>
      <c r="C1324" s="61"/>
      <c r="D1324" s="37"/>
      <c r="E1324" s="39" t="s">
        <v>24</v>
      </c>
      <c r="F1324" s="190">
        <f>SUM(F1318:F1323)</f>
        <v>30472</v>
      </c>
    </row>
    <row r="1325" spans="1:6" ht="15.75" thickBot="1" x14ac:dyDescent="0.3">
      <c r="A1325" s="155"/>
      <c r="B1325" s="9"/>
      <c r="C1325" s="156"/>
      <c r="D1325" s="10"/>
      <c r="E1325" s="39"/>
      <c r="F1325" s="144"/>
    </row>
    <row r="1326" spans="1:6" ht="15.75" thickBot="1" x14ac:dyDescent="0.3">
      <c r="A1326" s="69" t="s">
        <v>12</v>
      </c>
      <c r="B1326" s="64" t="s">
        <v>25</v>
      </c>
      <c r="C1326" s="65"/>
      <c r="D1326" s="66"/>
      <c r="E1326" s="67"/>
      <c r="F1326" s="351">
        <f>+F1324+F1315+F1310</f>
        <v>116883</v>
      </c>
    </row>
  </sheetData>
  <mergeCells count="54">
    <mergeCell ref="B825:D825"/>
    <mergeCell ref="B402:D402"/>
    <mergeCell ref="B423:D423"/>
    <mergeCell ref="B444:D444"/>
    <mergeCell ref="B352:D352"/>
    <mergeCell ref="B466:D466"/>
    <mergeCell ref="K1148:M1148"/>
    <mergeCell ref="B513:D513"/>
    <mergeCell ref="B536:D536"/>
    <mergeCell ref="B567:D567"/>
    <mergeCell ref="B593:D593"/>
    <mergeCell ref="B619:D619"/>
    <mergeCell ref="B1074:D1074"/>
    <mergeCell ref="B647:D647"/>
    <mergeCell ref="B975:D975"/>
    <mergeCell ref="B999:D999"/>
    <mergeCell ref="B1023:D1023"/>
    <mergeCell ref="B1049:D1049"/>
    <mergeCell ref="B850:D850"/>
    <mergeCell ref="B875:D875"/>
    <mergeCell ref="B901:D901"/>
    <mergeCell ref="B926:D926"/>
    <mergeCell ref="B271:D271"/>
    <mergeCell ref="B294:D294"/>
    <mergeCell ref="B323:D323"/>
    <mergeCell ref="B381:D381"/>
    <mergeCell ref="B491:D491"/>
    <mergeCell ref="B133:D133"/>
    <mergeCell ref="B157:D157"/>
    <mergeCell ref="B190:D190"/>
    <mergeCell ref="B222:D222"/>
    <mergeCell ref="B247:D247"/>
    <mergeCell ref="B2:D2"/>
    <mergeCell ref="B28:D28"/>
    <mergeCell ref="B55:D55"/>
    <mergeCell ref="B81:D81"/>
    <mergeCell ref="B107:D107"/>
    <mergeCell ref="N594:P594"/>
    <mergeCell ref="B701:D701"/>
    <mergeCell ref="B728:D728"/>
    <mergeCell ref="B751:D751"/>
    <mergeCell ref="B801:D801"/>
    <mergeCell ref="B674:D674"/>
    <mergeCell ref="B776:D776"/>
    <mergeCell ref="B952:D952"/>
    <mergeCell ref="B1254:D1254"/>
    <mergeCell ref="B1278:D1278"/>
    <mergeCell ref="B1302:D1302"/>
    <mergeCell ref="B1124:D1124"/>
    <mergeCell ref="B1231:D1231"/>
    <mergeCell ref="B1148:D1148"/>
    <mergeCell ref="B1178:D1178"/>
    <mergeCell ref="B1208:D1208"/>
    <mergeCell ref="B1098:D109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  <pageSetUpPr fitToPage="1"/>
  </sheetPr>
  <dimension ref="A1:AD83"/>
  <sheetViews>
    <sheetView view="pageBreakPreview" topLeftCell="C66" zoomScale="89" zoomScaleNormal="89" zoomScaleSheetLayoutView="89" workbookViewId="0">
      <selection activeCell="F80" sqref="F80"/>
    </sheetView>
  </sheetViews>
  <sheetFormatPr baseColWidth="10" defaultColWidth="6.7109375" defaultRowHeight="14.25" x14ac:dyDescent="0.25"/>
  <cols>
    <col min="1" max="1" width="6.28515625" style="322" bestFit="1" customWidth="1"/>
    <col min="2" max="2" width="70.7109375" style="322" bestFit="1" customWidth="1"/>
    <col min="3" max="3" width="8.140625" style="322" bestFit="1" customWidth="1"/>
    <col min="4" max="4" width="11.5703125" style="325" bestFit="1" customWidth="1"/>
    <col min="5" max="5" width="18" style="326" bestFit="1" customWidth="1"/>
    <col min="6" max="6" width="19.7109375" style="327" bestFit="1" customWidth="1"/>
    <col min="7" max="7" width="18.5703125" style="321" customWidth="1"/>
    <col min="8" max="11" width="16.7109375" style="321" customWidth="1"/>
    <col min="12" max="14" width="10.42578125" style="321" customWidth="1"/>
    <col min="15" max="30" width="6.7109375" style="321" customWidth="1"/>
    <col min="31" max="16384" width="6.7109375" style="322"/>
  </cols>
  <sheetData>
    <row r="1" spans="1:30" x14ac:dyDescent="0.25">
      <c r="A1" s="377" t="s">
        <v>146</v>
      </c>
      <c r="B1" s="378"/>
      <c r="C1" s="378"/>
      <c r="D1" s="378"/>
      <c r="E1" s="378"/>
      <c r="F1" s="379"/>
    </row>
    <row r="2" spans="1:30" x14ac:dyDescent="0.25">
      <c r="A2" s="380"/>
      <c r="B2" s="381"/>
      <c r="C2" s="381"/>
      <c r="D2" s="381"/>
      <c r="E2" s="381"/>
      <c r="F2" s="382"/>
    </row>
    <row r="3" spans="1:30" x14ac:dyDescent="0.25">
      <c r="A3" s="383" t="s">
        <v>5</v>
      </c>
      <c r="B3" s="384"/>
      <c r="C3" s="384"/>
      <c r="D3" s="384"/>
      <c r="E3" s="384"/>
      <c r="F3" s="385"/>
    </row>
    <row r="4" spans="1:30" x14ac:dyDescent="0.25">
      <c r="A4" s="383"/>
      <c r="B4" s="384"/>
      <c r="C4" s="384"/>
      <c r="D4" s="384"/>
      <c r="E4" s="384"/>
      <c r="F4" s="385"/>
    </row>
    <row r="5" spans="1:30" x14ac:dyDescent="0.25">
      <c r="A5" s="374" t="s">
        <v>145</v>
      </c>
      <c r="B5" s="375"/>
      <c r="C5" s="375"/>
      <c r="D5" s="375"/>
      <c r="E5" s="375"/>
      <c r="F5" s="376"/>
    </row>
    <row r="6" spans="1:30" x14ac:dyDescent="0.25">
      <c r="A6" s="374"/>
      <c r="B6" s="375"/>
      <c r="C6" s="375"/>
      <c r="D6" s="375"/>
      <c r="E6" s="375"/>
      <c r="F6" s="376"/>
    </row>
    <row r="7" spans="1:30" ht="15" thickBot="1" x14ac:dyDescent="0.3">
      <c r="A7" s="374"/>
      <c r="B7" s="375"/>
      <c r="C7" s="375"/>
      <c r="D7" s="375"/>
      <c r="E7" s="375"/>
      <c r="F7" s="376"/>
    </row>
    <row r="8" spans="1:30" ht="15.75" thickBot="1" x14ac:dyDescent="0.3">
      <c r="A8" s="286" t="s">
        <v>9</v>
      </c>
      <c r="B8" s="287" t="s">
        <v>10</v>
      </c>
      <c r="C8" s="287" t="s">
        <v>0</v>
      </c>
      <c r="D8" s="288" t="s">
        <v>6</v>
      </c>
      <c r="E8" s="289" t="s">
        <v>7</v>
      </c>
      <c r="F8" s="290" t="s">
        <v>8</v>
      </c>
    </row>
    <row r="9" spans="1:30" ht="15" x14ac:dyDescent="0.25">
      <c r="A9" s="291" t="s">
        <v>12</v>
      </c>
      <c r="B9" s="292" t="s">
        <v>11</v>
      </c>
      <c r="C9" s="293"/>
      <c r="D9" s="294"/>
      <c r="E9" s="295"/>
      <c r="F9" s="296"/>
    </row>
    <row r="10" spans="1:30" s="324" customFormat="1" ht="45" x14ac:dyDescent="0.25">
      <c r="A10" s="297" t="s">
        <v>133</v>
      </c>
      <c r="B10" s="298" t="s">
        <v>175</v>
      </c>
      <c r="C10" s="299"/>
      <c r="D10" s="300"/>
      <c r="E10" s="301"/>
      <c r="F10" s="302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38"/>
      <c r="R10" s="321"/>
      <c r="S10" s="339"/>
      <c r="T10" s="339"/>
      <c r="U10" s="339"/>
      <c r="V10" s="339"/>
      <c r="W10" s="339"/>
      <c r="X10" s="339"/>
      <c r="Y10" s="339"/>
      <c r="Z10" s="339"/>
      <c r="AA10" s="339"/>
      <c r="AB10" s="339"/>
      <c r="AC10" s="339"/>
      <c r="AD10" s="339"/>
    </row>
    <row r="11" spans="1:30" s="324" customFormat="1" ht="15" x14ac:dyDescent="0.25">
      <c r="A11" s="303"/>
      <c r="B11" s="304" t="s">
        <v>55</v>
      </c>
      <c r="C11" s="305"/>
      <c r="D11" s="306"/>
      <c r="E11" s="307"/>
      <c r="F11" s="308"/>
      <c r="G11" s="321"/>
      <c r="H11" s="321"/>
      <c r="I11" s="321"/>
      <c r="J11" s="321"/>
      <c r="K11" s="321"/>
      <c r="L11" s="321"/>
      <c r="M11" s="321"/>
      <c r="N11" s="321"/>
      <c r="O11" s="321"/>
      <c r="P11" s="321"/>
      <c r="Q11" s="340"/>
      <c r="R11" s="321"/>
      <c r="S11" s="339"/>
      <c r="T11" s="339"/>
      <c r="U11" s="339"/>
      <c r="V11" s="339"/>
      <c r="W11" s="339"/>
      <c r="X11" s="339"/>
      <c r="Y11" s="339"/>
      <c r="Z11" s="339"/>
      <c r="AA11" s="339"/>
      <c r="AB11" s="339"/>
      <c r="AC11" s="339"/>
      <c r="AD11" s="339"/>
    </row>
    <row r="12" spans="1:30" s="324" customFormat="1" ht="28.5" x14ac:dyDescent="0.25">
      <c r="A12" s="303">
        <v>1</v>
      </c>
      <c r="B12" s="336" t="s">
        <v>56</v>
      </c>
      <c r="C12" s="335" t="s">
        <v>26</v>
      </c>
      <c r="D12" s="330">
        <f>+'PUERTO TEJADA'!$D$12+'SANTANDER Q'!$D$12+BORDO!$D$12+'POPAYAN FPS'!D12+'POPAYAN LCP'!D12+ADOLESCENTES!D12</f>
        <v>924.8</v>
      </c>
      <c r="E12" s="307">
        <f>APU!F26</f>
        <v>22775</v>
      </c>
      <c r="F12" s="308">
        <f>ROUND(E12*D12,)</f>
        <v>21062320</v>
      </c>
      <c r="G12" s="321">
        <f>+'PUERTO TEJADA'!F12+'SANTANDER Q'!F12+BORDO!F12+'POPAYAN FPS'!F12+'POPAYAN LCP'!F12+ADOLESCENTES!F12</f>
        <v>21062321</v>
      </c>
      <c r="H12" s="321">
        <f t="shared" ref="H12:H59" si="0">+G12-F12</f>
        <v>1</v>
      </c>
      <c r="I12" s="321"/>
      <c r="J12" s="321"/>
      <c r="K12" s="321"/>
      <c r="L12" s="321"/>
      <c r="M12" s="321"/>
      <c r="N12" s="321"/>
      <c r="O12" s="321"/>
      <c r="P12" s="321"/>
      <c r="Q12" s="321"/>
      <c r="R12" s="321"/>
      <c r="S12" s="339"/>
      <c r="T12" s="339"/>
      <c r="U12" s="339"/>
      <c r="V12" s="339"/>
      <c r="W12" s="339"/>
      <c r="X12" s="339"/>
      <c r="Y12" s="339"/>
      <c r="Z12" s="339"/>
      <c r="AA12" s="339"/>
      <c r="AB12" s="339"/>
      <c r="AC12" s="339"/>
      <c r="AD12" s="339"/>
    </row>
    <row r="13" spans="1:30" s="324" customFormat="1" ht="28.5" x14ac:dyDescent="0.25">
      <c r="A13" s="303">
        <f>1+A12</f>
        <v>2</v>
      </c>
      <c r="B13" s="336" t="s">
        <v>147</v>
      </c>
      <c r="C13" s="335" t="s">
        <v>26</v>
      </c>
      <c r="D13" s="330">
        <f>+'PUERTO TEJADA'!$D$13+'SANTANDER Q'!$D$13+BORDO!$D$13+'POPAYAN FPS'!D13+'POPAYAN LCP'!D13+ADOLESCENTES!D13</f>
        <v>924.8</v>
      </c>
      <c r="E13" s="307">
        <f>APU!F53</f>
        <v>47165</v>
      </c>
      <c r="F13" s="308">
        <f t="shared" ref="F13:F74" si="1">ROUND(E13*D13,)</f>
        <v>43618192</v>
      </c>
      <c r="G13" s="321">
        <f>+'PUERTO TEJADA'!F13+'SANTANDER Q'!F13+BORDO!F13+'POPAYAN FPS'!F13+'POPAYAN LCP'!F13+ADOLESCENTES!F13</f>
        <v>43618193</v>
      </c>
      <c r="H13" s="321">
        <f t="shared" si="0"/>
        <v>1</v>
      </c>
      <c r="I13" s="321"/>
      <c r="J13" s="321"/>
      <c r="K13" s="321"/>
      <c r="L13" s="321"/>
      <c r="M13" s="321"/>
      <c r="N13" s="321"/>
      <c r="O13" s="321"/>
      <c r="P13" s="321"/>
      <c r="Q13" s="321"/>
      <c r="R13" s="321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</row>
    <row r="14" spans="1:30" s="324" customFormat="1" x14ac:dyDescent="0.25">
      <c r="A14" s="303">
        <f t="shared" ref="A14:A20" si="2">1+A13</f>
        <v>3</v>
      </c>
      <c r="B14" s="336" t="s">
        <v>148</v>
      </c>
      <c r="C14" s="335" t="s">
        <v>40</v>
      </c>
      <c r="D14" s="330">
        <f>+'PUERTO TEJADA'!$D$14+BORDO!$D$14</f>
        <v>20</v>
      </c>
      <c r="E14" s="307">
        <f>APU!F79</f>
        <v>63241</v>
      </c>
      <c r="F14" s="308">
        <f t="shared" si="1"/>
        <v>1264820</v>
      </c>
      <c r="G14" s="321">
        <f>+'PUERTO TEJADA'!F14+BORDO!F14</f>
        <v>1264820</v>
      </c>
      <c r="H14" s="321">
        <f t="shared" si="0"/>
        <v>0</v>
      </c>
      <c r="I14" s="321"/>
      <c r="J14" s="321"/>
      <c r="K14" s="321"/>
      <c r="L14" s="321"/>
      <c r="M14" s="321"/>
      <c r="N14" s="321"/>
      <c r="O14" s="321"/>
      <c r="P14" s="321"/>
      <c r="Q14" s="321"/>
      <c r="R14" s="321"/>
      <c r="S14" s="339"/>
      <c r="T14" s="339"/>
      <c r="U14" s="339"/>
      <c r="V14" s="339"/>
      <c r="W14" s="339"/>
      <c r="X14" s="339"/>
      <c r="Y14" s="339"/>
      <c r="Z14" s="339"/>
      <c r="AA14" s="339"/>
      <c r="AB14" s="339"/>
      <c r="AC14" s="339"/>
      <c r="AD14" s="339"/>
    </row>
    <row r="15" spans="1:30" s="324" customFormat="1" x14ac:dyDescent="0.25">
      <c r="A15" s="303">
        <f t="shared" si="2"/>
        <v>4</v>
      </c>
      <c r="B15" s="336" t="s">
        <v>149</v>
      </c>
      <c r="C15" s="335" t="s">
        <v>26</v>
      </c>
      <c r="D15" s="330">
        <f>+'PUERTO TEJADA'!$D$15+BORDO!$D$15+'POPAYAN FPS'!D14+'POPAYAN LCP'!D14+ADOLESCENTES!D14</f>
        <v>837.69999999999993</v>
      </c>
      <c r="E15" s="307">
        <f>APU!F105</f>
        <v>55259</v>
      </c>
      <c r="F15" s="308">
        <f t="shared" si="1"/>
        <v>46290464</v>
      </c>
      <c r="G15" s="321">
        <f>+'PUERTO TEJADA'!F15+BORDO!F15+'POPAYAN FPS'!F14+'POPAYAN LCP'!F14+ADOLESCENTES!F14</f>
        <v>46290465</v>
      </c>
      <c r="H15" s="321">
        <f t="shared" si="0"/>
        <v>1</v>
      </c>
      <c r="I15" s="321"/>
      <c r="J15" s="321"/>
      <c r="K15" s="321"/>
      <c r="L15" s="321"/>
      <c r="M15" s="321"/>
      <c r="N15" s="321"/>
      <c r="O15" s="321"/>
      <c r="P15" s="321"/>
      <c r="Q15" s="321"/>
      <c r="R15" s="321"/>
      <c r="S15" s="339"/>
      <c r="T15" s="339"/>
      <c r="U15" s="339"/>
      <c r="V15" s="339"/>
      <c r="W15" s="339"/>
      <c r="X15" s="339"/>
      <c r="Y15" s="339"/>
      <c r="Z15" s="339"/>
      <c r="AA15" s="339"/>
      <c r="AB15" s="339"/>
      <c r="AC15" s="339"/>
      <c r="AD15" s="339"/>
    </row>
    <row r="16" spans="1:30" s="324" customFormat="1" x14ac:dyDescent="0.25">
      <c r="A16" s="303">
        <f t="shared" si="2"/>
        <v>5</v>
      </c>
      <c r="B16" s="336" t="s">
        <v>176</v>
      </c>
      <c r="C16" s="335" t="s">
        <v>33</v>
      </c>
      <c r="D16" s="330">
        <v>1</v>
      </c>
      <c r="E16" s="307">
        <f>APU!F131</f>
        <v>36529</v>
      </c>
      <c r="F16" s="308">
        <f t="shared" si="1"/>
        <v>36529</v>
      </c>
      <c r="G16" s="321"/>
      <c r="H16" s="321">
        <f t="shared" si="0"/>
        <v>-36529</v>
      </c>
      <c r="I16" s="321"/>
      <c r="J16" s="321"/>
      <c r="K16" s="321"/>
      <c r="L16" s="321"/>
      <c r="M16" s="321"/>
      <c r="N16" s="321"/>
      <c r="O16" s="321"/>
      <c r="P16" s="321"/>
      <c r="Q16" s="321"/>
      <c r="R16" s="321"/>
      <c r="S16" s="339"/>
      <c r="T16" s="339"/>
      <c r="U16" s="339"/>
      <c r="V16" s="339"/>
      <c r="W16" s="339"/>
      <c r="X16" s="339"/>
      <c r="Y16" s="339"/>
      <c r="Z16" s="339"/>
      <c r="AA16" s="339"/>
      <c r="AB16" s="339"/>
      <c r="AC16" s="339"/>
      <c r="AD16" s="339"/>
    </row>
    <row r="17" spans="1:30" s="324" customFormat="1" x14ac:dyDescent="0.25">
      <c r="A17" s="303">
        <f t="shared" si="2"/>
        <v>6</v>
      </c>
      <c r="B17" s="336" t="s">
        <v>57</v>
      </c>
      <c r="C17" s="335" t="s">
        <v>33</v>
      </c>
      <c r="D17" s="330">
        <f>+'PUERTO TEJADA'!$D$16+'SANTANDER Q'!$D$14+BORDO!$D$16+'POPAYAN FPS'!D15+'POPAYAN LCP'!D15+ADOLESCENTES!D15</f>
        <v>1571</v>
      </c>
      <c r="E17" s="307">
        <f>APU!F155</f>
        <v>20436</v>
      </c>
      <c r="F17" s="308">
        <f t="shared" si="1"/>
        <v>32104956</v>
      </c>
      <c r="G17" s="321">
        <f>+'PUERTO TEJADA'!F16+'SANTANDER Q'!F14+BORDO!F16+'POPAYAN FPS'!F15+'POPAYAN LCP'!F15+ADOLESCENTES!F15</f>
        <v>32104956</v>
      </c>
      <c r="H17" s="321">
        <f t="shared" si="0"/>
        <v>0</v>
      </c>
      <c r="I17" s="321"/>
      <c r="J17" s="321"/>
      <c r="K17" s="321"/>
      <c r="L17" s="321"/>
      <c r="M17" s="321"/>
      <c r="N17" s="321"/>
      <c r="O17" s="321"/>
      <c r="P17" s="321"/>
      <c r="Q17" s="321"/>
      <c r="R17" s="321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39"/>
      <c r="AD17" s="339"/>
    </row>
    <row r="18" spans="1:30" s="324" customFormat="1" ht="28.5" x14ac:dyDescent="0.25">
      <c r="A18" s="303">
        <f t="shared" si="2"/>
        <v>7</v>
      </c>
      <c r="B18" s="336" t="s">
        <v>159</v>
      </c>
      <c r="C18" s="335" t="s">
        <v>26</v>
      </c>
      <c r="D18" s="330">
        <v>1</v>
      </c>
      <c r="E18" s="307">
        <f>APU!F188</f>
        <v>98520</v>
      </c>
      <c r="F18" s="308">
        <f t="shared" si="1"/>
        <v>98520</v>
      </c>
      <c r="G18" s="321"/>
      <c r="H18" s="321">
        <f t="shared" si="0"/>
        <v>-98520</v>
      </c>
      <c r="I18" s="321"/>
      <c r="J18" s="321"/>
      <c r="K18" s="321"/>
      <c r="L18" s="321"/>
      <c r="M18" s="321"/>
      <c r="N18" s="321"/>
      <c r="O18" s="321"/>
      <c r="P18" s="321"/>
      <c r="Q18" s="321"/>
      <c r="R18" s="321"/>
      <c r="S18" s="339"/>
      <c r="T18" s="339"/>
      <c r="U18" s="339"/>
      <c r="V18" s="339"/>
      <c r="W18" s="339"/>
      <c r="X18" s="339"/>
      <c r="Y18" s="339"/>
      <c r="Z18" s="339"/>
      <c r="AA18" s="339"/>
      <c r="AB18" s="339"/>
      <c r="AC18" s="339"/>
      <c r="AD18" s="339"/>
    </row>
    <row r="19" spans="1:30" s="324" customFormat="1" ht="28.5" x14ac:dyDescent="0.25">
      <c r="A19" s="303">
        <f t="shared" si="2"/>
        <v>8</v>
      </c>
      <c r="B19" s="336" t="s">
        <v>150</v>
      </c>
      <c r="C19" s="335" t="s">
        <v>26</v>
      </c>
      <c r="D19" s="330">
        <f>+'PUERTO TEJADA'!$D$17+'SANTANDER Q'!$D$15+BORDO!$D$17+'POPAYAN LCP'!D16</f>
        <v>1236.2</v>
      </c>
      <c r="E19" s="307">
        <f>APU!F220</f>
        <v>98520</v>
      </c>
      <c r="F19" s="308">
        <f t="shared" si="1"/>
        <v>121790424</v>
      </c>
      <c r="G19" s="321">
        <f>+'PUERTO TEJADA'!F17+'SANTANDER Q'!F15+BORDO!F17+'POPAYAN LCP'!F16</f>
        <v>121790424</v>
      </c>
      <c r="H19" s="321">
        <f t="shared" si="0"/>
        <v>0</v>
      </c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39"/>
      <c r="AD19" s="339"/>
    </row>
    <row r="20" spans="1:30" s="324" customFormat="1" x14ac:dyDescent="0.25">
      <c r="A20" s="303">
        <f t="shared" si="2"/>
        <v>9</v>
      </c>
      <c r="B20" s="336" t="s">
        <v>169</v>
      </c>
      <c r="C20" s="335" t="s">
        <v>26</v>
      </c>
      <c r="D20" s="330">
        <v>1</v>
      </c>
      <c r="E20" s="307">
        <f>APU!F245</f>
        <v>32126</v>
      </c>
      <c r="F20" s="308">
        <f t="shared" si="1"/>
        <v>32126</v>
      </c>
      <c r="G20" s="321"/>
      <c r="H20" s="321">
        <f t="shared" si="0"/>
        <v>-32126</v>
      </c>
      <c r="I20" s="321"/>
      <c r="J20" s="321"/>
      <c r="K20" s="321"/>
      <c r="L20" s="321"/>
      <c r="M20" s="321"/>
      <c r="N20" s="321"/>
      <c r="O20" s="321"/>
      <c r="P20" s="321"/>
      <c r="Q20" s="321"/>
      <c r="R20" s="321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39"/>
      <c r="AD20" s="339"/>
    </row>
    <row r="21" spans="1:30" s="324" customFormat="1" ht="15" x14ac:dyDescent="0.25">
      <c r="A21" s="303"/>
      <c r="B21" s="328" t="s">
        <v>58</v>
      </c>
      <c r="C21" s="335"/>
      <c r="D21" s="330"/>
      <c r="E21" s="307"/>
      <c r="F21" s="308"/>
      <c r="G21" s="321"/>
      <c r="H21" s="321">
        <f t="shared" si="0"/>
        <v>0</v>
      </c>
      <c r="I21" s="321"/>
      <c r="J21" s="321"/>
      <c r="K21" s="321"/>
      <c r="L21" s="321"/>
      <c r="M21" s="321"/>
      <c r="N21" s="321"/>
      <c r="O21" s="321"/>
      <c r="P21" s="321"/>
      <c r="Q21" s="321"/>
      <c r="R21" s="321"/>
      <c r="S21" s="339"/>
      <c r="T21" s="339"/>
      <c r="U21" s="339"/>
      <c r="V21" s="339"/>
      <c r="W21" s="339"/>
      <c r="X21" s="339"/>
      <c r="Y21" s="339"/>
      <c r="Z21" s="339"/>
      <c r="AA21" s="339"/>
      <c r="AB21" s="339"/>
      <c r="AC21" s="339"/>
      <c r="AD21" s="339"/>
    </row>
    <row r="22" spans="1:30" s="324" customFormat="1" ht="28.5" x14ac:dyDescent="0.25">
      <c r="A22" s="303">
        <v>1</v>
      </c>
      <c r="B22" s="336" t="s">
        <v>160</v>
      </c>
      <c r="C22" s="335" t="s">
        <v>33</v>
      </c>
      <c r="D22" s="330">
        <v>1</v>
      </c>
      <c r="E22" s="307">
        <f>APU!F269</f>
        <v>58805</v>
      </c>
      <c r="F22" s="308">
        <f t="shared" si="1"/>
        <v>58805</v>
      </c>
      <c r="G22" s="321"/>
      <c r="H22" s="321">
        <f t="shared" si="0"/>
        <v>-58805</v>
      </c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39"/>
      <c r="AD22" s="339"/>
    </row>
    <row r="23" spans="1:30" s="324" customFormat="1" ht="28.5" x14ac:dyDescent="0.25">
      <c r="A23" s="303">
        <f>1+A22</f>
        <v>2</v>
      </c>
      <c r="B23" s="336" t="s">
        <v>161</v>
      </c>
      <c r="C23" s="335" t="s">
        <v>33</v>
      </c>
      <c r="D23" s="330">
        <v>1</v>
      </c>
      <c r="E23" s="307">
        <f>APU!F292</f>
        <v>9410</v>
      </c>
      <c r="F23" s="308">
        <f t="shared" si="1"/>
        <v>9410</v>
      </c>
      <c r="G23" s="321"/>
      <c r="H23" s="321">
        <f t="shared" si="0"/>
        <v>-9410</v>
      </c>
      <c r="I23" s="321"/>
      <c r="J23" s="321"/>
      <c r="K23" s="321"/>
      <c r="L23" s="321"/>
      <c r="M23" s="321"/>
      <c r="N23" s="321"/>
      <c r="O23" s="321"/>
      <c r="P23" s="321"/>
      <c r="Q23" s="321"/>
      <c r="R23" s="321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39"/>
      <c r="AD23" s="339"/>
    </row>
    <row r="24" spans="1:30" s="324" customFormat="1" ht="28.5" x14ac:dyDescent="0.25">
      <c r="A24" s="303">
        <f t="shared" ref="A24:A44" si="3">+A23+1</f>
        <v>3</v>
      </c>
      <c r="B24" s="336" t="s">
        <v>93</v>
      </c>
      <c r="C24" s="335" t="s">
        <v>26</v>
      </c>
      <c r="D24" s="330">
        <f>+'PUERTO TEJADA'!$D$19+'SANTANDER Q'!$D$17+BORDO!$D$19+'POPAYAN FPS'!D17+'POPAYAN LCP'!D18+ADOLESCENTES!D17</f>
        <v>10440.66</v>
      </c>
      <c r="E24" s="307">
        <f>APU!F321</f>
        <v>30259</v>
      </c>
      <c r="F24" s="308">
        <f t="shared" si="1"/>
        <v>315923931</v>
      </c>
      <c r="G24" s="321">
        <f>+'PUERTO TEJADA'!F19+'SANTANDER Q'!F17+BORDO!F19+'POPAYAN FPS'!F17+'POPAYAN LCP'!F18+ADOLESCENTES!F17</f>
        <v>315923932</v>
      </c>
      <c r="H24" s="321">
        <f t="shared" si="0"/>
        <v>1</v>
      </c>
      <c r="I24" s="321"/>
      <c r="J24" s="321"/>
      <c r="K24" s="321"/>
      <c r="L24" s="321"/>
      <c r="M24" s="321"/>
      <c r="N24" s="321"/>
      <c r="O24" s="321"/>
      <c r="P24" s="321"/>
      <c r="Q24" s="321"/>
      <c r="R24" s="321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39"/>
      <c r="AD24" s="339"/>
    </row>
    <row r="25" spans="1:30" s="324" customFormat="1" ht="28.5" x14ac:dyDescent="0.25">
      <c r="A25" s="303">
        <f t="shared" si="3"/>
        <v>4</v>
      </c>
      <c r="B25" s="336" t="s">
        <v>69</v>
      </c>
      <c r="C25" s="335" t="s">
        <v>26</v>
      </c>
      <c r="D25" s="330">
        <f>+'PUERTO TEJADA'!$D$20+'SANTANDER Q'!$D$18+BORDO!$D$20+'POPAYAN FPS'!D18+'POPAYAN LCP'!D19+ADOLESCENTES!D18</f>
        <v>2659.06</v>
      </c>
      <c r="E25" s="307">
        <f>APU!F350</f>
        <v>34715</v>
      </c>
      <c r="F25" s="308">
        <f t="shared" si="1"/>
        <v>92309268</v>
      </c>
      <c r="G25" s="321">
        <f>+'PUERTO TEJADA'!F20+'SANTANDER Q'!F18+BORDO!F20+'POPAYAN FPS'!F18+'POPAYAN LCP'!F19+ADOLESCENTES!F18</f>
        <v>92309268</v>
      </c>
      <c r="H25" s="321">
        <f t="shared" si="0"/>
        <v>0</v>
      </c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39"/>
      <c r="AD25" s="339"/>
    </row>
    <row r="26" spans="1:30" s="324" customFormat="1" ht="28.5" x14ac:dyDescent="0.25">
      <c r="A26" s="303">
        <f t="shared" si="3"/>
        <v>5</v>
      </c>
      <c r="B26" s="336" t="s">
        <v>124</v>
      </c>
      <c r="C26" s="335" t="s">
        <v>26</v>
      </c>
      <c r="D26" s="330">
        <f>+'PUERTO TEJADA'!$D$21+'SANTANDER Q'!$D$19+BORDO!$D$21+'POPAYAN FPS'!D19+'POPAYAN LCP'!D20+ADOLESCENTES!D19</f>
        <v>1103.4799999999998</v>
      </c>
      <c r="E26" s="307">
        <f>APU!F400</f>
        <v>39003</v>
      </c>
      <c r="F26" s="308">
        <f t="shared" si="1"/>
        <v>43039030</v>
      </c>
      <c r="G26" s="321">
        <f>+'PUERTO TEJADA'!F21+'SANTANDER Q'!F19+BORDO!F21+'POPAYAN FPS'!F19+'POPAYAN LCP'!F20+ADOLESCENTES!F19</f>
        <v>43039030</v>
      </c>
      <c r="H26" s="321">
        <f t="shared" si="0"/>
        <v>0</v>
      </c>
      <c r="I26" s="321"/>
      <c r="J26" s="321"/>
      <c r="K26" s="321"/>
      <c r="L26" s="321"/>
      <c r="M26" s="321"/>
      <c r="N26" s="321"/>
      <c r="O26" s="321"/>
      <c r="P26" s="321"/>
      <c r="Q26" s="321"/>
      <c r="R26" s="321"/>
      <c r="S26" s="339"/>
      <c r="T26" s="339"/>
      <c r="U26" s="339"/>
      <c r="V26" s="339"/>
      <c r="W26" s="339"/>
      <c r="X26" s="339"/>
      <c r="Y26" s="339"/>
      <c r="Z26" s="339"/>
      <c r="AA26" s="339"/>
      <c r="AB26" s="339"/>
      <c r="AC26" s="339"/>
      <c r="AD26" s="339"/>
    </row>
    <row r="27" spans="1:30" s="324" customFormat="1" ht="28.5" x14ac:dyDescent="0.25">
      <c r="A27" s="303">
        <f t="shared" si="3"/>
        <v>6</v>
      </c>
      <c r="B27" s="336" t="s">
        <v>59</v>
      </c>
      <c r="C27" s="335" t="s">
        <v>26</v>
      </c>
      <c r="D27" s="330">
        <f>+'PUERTO TEJADA'!$D$22+ADOLESCENTES!D20</f>
        <v>185.44</v>
      </c>
      <c r="E27" s="307">
        <f>APU!F511</f>
        <v>25117</v>
      </c>
      <c r="F27" s="308">
        <f t="shared" si="1"/>
        <v>4657696</v>
      </c>
      <c r="G27" s="321">
        <f>+'PUERTO TEJADA'!F22+ADOLESCENTES!F20</f>
        <v>4657696</v>
      </c>
      <c r="H27" s="321">
        <f t="shared" si="0"/>
        <v>0</v>
      </c>
      <c r="I27" s="321"/>
      <c r="J27" s="321"/>
      <c r="K27" s="321"/>
      <c r="L27" s="321"/>
      <c r="M27" s="321"/>
      <c r="N27" s="321"/>
      <c r="O27" s="321"/>
      <c r="P27" s="321"/>
      <c r="Q27" s="321"/>
      <c r="R27" s="321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39"/>
      <c r="AD27" s="339"/>
    </row>
    <row r="28" spans="1:30" s="324" customFormat="1" ht="28.5" x14ac:dyDescent="0.25">
      <c r="A28" s="303">
        <f t="shared" si="3"/>
        <v>7</v>
      </c>
      <c r="B28" s="336" t="s">
        <v>162</v>
      </c>
      <c r="C28" s="335" t="s">
        <v>33</v>
      </c>
      <c r="D28" s="330">
        <v>1</v>
      </c>
      <c r="E28" s="307">
        <f>APU!F534</f>
        <v>6904</v>
      </c>
      <c r="F28" s="308">
        <f t="shared" si="1"/>
        <v>6904</v>
      </c>
      <c r="G28" s="321"/>
      <c r="H28" s="321">
        <f t="shared" si="0"/>
        <v>-6904</v>
      </c>
      <c r="I28" s="321"/>
      <c r="J28" s="321"/>
      <c r="K28" s="321"/>
      <c r="L28" s="321"/>
      <c r="M28" s="321"/>
      <c r="N28" s="321"/>
      <c r="O28" s="321"/>
      <c r="P28" s="321"/>
      <c r="Q28" s="321"/>
      <c r="R28" s="321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39"/>
      <c r="AD28" s="339"/>
    </row>
    <row r="29" spans="1:30" s="324" customFormat="1" ht="42.75" x14ac:dyDescent="0.25">
      <c r="A29" s="303">
        <f t="shared" si="3"/>
        <v>8</v>
      </c>
      <c r="B29" s="336" t="s">
        <v>157</v>
      </c>
      <c r="C29" s="335" t="s">
        <v>26</v>
      </c>
      <c r="D29" s="330">
        <f>+'PUERTO TEJADA'!$D$23+BORDO!$D$22</f>
        <v>199.98000000000002</v>
      </c>
      <c r="E29" s="307">
        <f>APU!F565</f>
        <v>103037</v>
      </c>
      <c r="F29" s="308">
        <f t="shared" si="1"/>
        <v>20605339</v>
      </c>
      <c r="G29" s="321">
        <f>+'PUERTO TEJADA'!F23+BORDO!F22</f>
        <v>20605340</v>
      </c>
      <c r="H29" s="321">
        <f t="shared" si="0"/>
        <v>1</v>
      </c>
      <c r="I29" s="321"/>
      <c r="J29" s="321"/>
      <c r="K29" s="321"/>
      <c r="L29" s="321"/>
      <c r="M29" s="321"/>
      <c r="N29" s="321"/>
      <c r="O29" s="321"/>
      <c r="P29" s="321"/>
      <c r="Q29" s="321"/>
      <c r="R29" s="321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</row>
    <row r="30" spans="1:30" s="324" customFormat="1" ht="28.5" x14ac:dyDescent="0.25">
      <c r="A30" s="303">
        <f t="shared" si="3"/>
        <v>9</v>
      </c>
      <c r="B30" s="336" t="s">
        <v>163</v>
      </c>
      <c r="C30" s="335" t="s">
        <v>26</v>
      </c>
      <c r="D30" s="330">
        <v>1</v>
      </c>
      <c r="E30" s="307">
        <f>APU!F591</f>
        <v>64212</v>
      </c>
      <c r="F30" s="308">
        <f t="shared" si="1"/>
        <v>64212</v>
      </c>
      <c r="G30" s="321"/>
      <c r="H30" s="321">
        <f t="shared" si="0"/>
        <v>-64212</v>
      </c>
      <c r="I30" s="321"/>
      <c r="J30" s="321"/>
      <c r="K30" s="321"/>
      <c r="L30" s="321"/>
      <c r="M30" s="321"/>
      <c r="N30" s="321"/>
      <c r="O30" s="321"/>
      <c r="P30" s="321"/>
      <c r="Q30" s="321"/>
      <c r="R30" s="321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39"/>
      <c r="AD30" s="339"/>
    </row>
    <row r="31" spans="1:30" s="324" customFormat="1" x14ac:dyDescent="0.25">
      <c r="A31" s="303">
        <f t="shared" si="3"/>
        <v>10</v>
      </c>
      <c r="B31" s="336" t="s">
        <v>60</v>
      </c>
      <c r="C31" s="335" t="s">
        <v>26</v>
      </c>
      <c r="D31" s="330">
        <f>+ADOLESCENTES!D21</f>
        <v>163</v>
      </c>
      <c r="E31" s="307">
        <f>APU!F617</f>
        <v>8429</v>
      </c>
      <c r="F31" s="308">
        <f t="shared" si="1"/>
        <v>1373927</v>
      </c>
      <c r="G31" s="321">
        <f>+ADOLESCENTES!F21</f>
        <v>1373927</v>
      </c>
      <c r="H31" s="321">
        <f t="shared" si="0"/>
        <v>0</v>
      </c>
      <c r="I31" s="321"/>
      <c r="J31" s="321"/>
      <c r="K31" s="321"/>
      <c r="L31" s="321"/>
      <c r="M31" s="321"/>
      <c r="N31" s="321"/>
      <c r="O31" s="321"/>
      <c r="P31" s="321"/>
      <c r="Q31" s="321"/>
      <c r="R31" s="321"/>
      <c r="S31" s="339"/>
      <c r="T31" s="339"/>
      <c r="U31" s="339"/>
      <c r="V31" s="339"/>
      <c r="W31" s="339"/>
      <c r="X31" s="339"/>
      <c r="Y31" s="339"/>
      <c r="Z31" s="339"/>
      <c r="AA31" s="339"/>
      <c r="AB31" s="339"/>
      <c r="AC31" s="339"/>
      <c r="AD31" s="339"/>
    </row>
    <row r="32" spans="1:30" s="324" customFormat="1" ht="28.5" x14ac:dyDescent="0.25">
      <c r="A32" s="303">
        <f t="shared" si="3"/>
        <v>11</v>
      </c>
      <c r="B32" s="336" t="s">
        <v>151</v>
      </c>
      <c r="C32" s="335" t="s">
        <v>26</v>
      </c>
      <c r="D32" s="330">
        <f>+'PUERTO TEJADA'!$D$24+'SANTANDER Q'!$D$20+BORDO!$D$23</f>
        <v>86.13</v>
      </c>
      <c r="E32" s="307">
        <f>APU!F645</f>
        <v>593344</v>
      </c>
      <c r="F32" s="308">
        <f t="shared" si="1"/>
        <v>51104719</v>
      </c>
      <c r="G32" s="321">
        <f>+'PUERTO TEJADA'!F24+'SANTANDER Q'!F20+BORDO!F23</f>
        <v>51104718</v>
      </c>
      <c r="H32" s="321">
        <f t="shared" si="0"/>
        <v>-1</v>
      </c>
      <c r="I32" s="321"/>
      <c r="J32" s="321"/>
      <c r="K32" s="321"/>
      <c r="L32" s="321"/>
      <c r="M32" s="321"/>
      <c r="N32" s="321"/>
      <c r="O32" s="321"/>
      <c r="P32" s="321"/>
      <c r="Q32" s="321"/>
      <c r="R32" s="321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39"/>
      <c r="AD32" s="339"/>
    </row>
    <row r="33" spans="1:30" s="324" customFormat="1" ht="28.5" x14ac:dyDescent="0.25">
      <c r="A33" s="303">
        <f t="shared" si="3"/>
        <v>12</v>
      </c>
      <c r="B33" s="336" t="s">
        <v>141</v>
      </c>
      <c r="C33" s="335" t="s">
        <v>26</v>
      </c>
      <c r="D33" s="330">
        <f>+'PUERTO TEJADA'!$D$25+'SANTANDER Q'!$D$21+BORDO!$D$24</f>
        <v>948.06999999999994</v>
      </c>
      <c r="E33" s="307">
        <f>APU!F672</f>
        <v>86770</v>
      </c>
      <c r="F33" s="308">
        <f t="shared" si="1"/>
        <v>82264034</v>
      </c>
      <c r="G33" s="321">
        <f>+'PUERTO TEJADA'!F25+'SANTANDER Q'!F21+BORDO!F24</f>
        <v>82264034</v>
      </c>
      <c r="H33" s="321">
        <f t="shared" si="0"/>
        <v>0</v>
      </c>
      <c r="I33" s="321"/>
      <c r="J33" s="321"/>
      <c r="K33" s="321"/>
      <c r="L33" s="321"/>
      <c r="M33" s="321"/>
      <c r="N33" s="321"/>
      <c r="O33" s="321"/>
      <c r="P33" s="321"/>
      <c r="Q33" s="321"/>
      <c r="R33" s="321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39"/>
      <c r="AD33" s="339"/>
    </row>
    <row r="34" spans="1:30" s="324" customFormat="1" ht="28.5" x14ac:dyDescent="0.25">
      <c r="A34" s="303">
        <f t="shared" si="3"/>
        <v>13</v>
      </c>
      <c r="B34" s="336" t="s">
        <v>164</v>
      </c>
      <c r="C34" s="335" t="s">
        <v>26</v>
      </c>
      <c r="D34" s="330">
        <v>1</v>
      </c>
      <c r="E34" s="307">
        <f>APU!F726</f>
        <v>318329</v>
      </c>
      <c r="F34" s="308">
        <f t="shared" si="1"/>
        <v>318329</v>
      </c>
      <c r="G34" s="321"/>
      <c r="H34" s="321">
        <f t="shared" si="0"/>
        <v>-318329</v>
      </c>
      <c r="I34" s="321"/>
      <c r="J34" s="321"/>
      <c r="K34" s="321"/>
      <c r="L34" s="321"/>
      <c r="M34" s="321"/>
      <c r="N34" s="321"/>
      <c r="O34" s="321"/>
      <c r="P34" s="321"/>
      <c r="Q34" s="321"/>
      <c r="R34" s="321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39"/>
      <c r="AD34" s="339"/>
    </row>
    <row r="35" spans="1:30" s="324" customFormat="1" ht="28.5" x14ac:dyDescent="0.25">
      <c r="A35" s="303">
        <f t="shared" si="3"/>
        <v>14</v>
      </c>
      <c r="B35" s="336" t="s">
        <v>152</v>
      </c>
      <c r="C35" s="335" t="s">
        <v>26</v>
      </c>
      <c r="D35" s="330">
        <f>+'PUERTO TEJADA'!$D$26+'SANTANDER Q'!$D$22+BORDO!$D$25</f>
        <v>119.85000000000001</v>
      </c>
      <c r="E35" s="307">
        <f>APU!F749</f>
        <v>67130</v>
      </c>
      <c r="F35" s="308">
        <f t="shared" si="1"/>
        <v>8045531</v>
      </c>
      <c r="G35" s="321">
        <f>+'PUERTO TEJADA'!F26+'SANTANDER Q'!F22+BORDO!F25</f>
        <v>8045531</v>
      </c>
      <c r="H35" s="321">
        <f t="shared" si="0"/>
        <v>0</v>
      </c>
      <c r="I35" s="321"/>
      <c r="J35" s="321"/>
      <c r="K35" s="321"/>
      <c r="L35" s="321"/>
      <c r="M35" s="321"/>
      <c r="N35" s="321"/>
      <c r="O35" s="321"/>
      <c r="P35" s="321"/>
      <c r="Q35" s="321"/>
      <c r="R35" s="321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39"/>
      <c r="AD35" s="339"/>
    </row>
    <row r="36" spans="1:30" s="324" customFormat="1" ht="28.5" x14ac:dyDescent="0.25">
      <c r="A36" s="303">
        <f t="shared" si="3"/>
        <v>15</v>
      </c>
      <c r="B36" s="336" t="s">
        <v>177</v>
      </c>
      <c r="C36" s="335" t="s">
        <v>26</v>
      </c>
      <c r="D36" s="330">
        <v>1</v>
      </c>
      <c r="E36" s="307">
        <f>APU!F774</f>
        <v>66323</v>
      </c>
      <c r="F36" s="308">
        <f t="shared" si="1"/>
        <v>66323</v>
      </c>
      <c r="G36" s="321"/>
      <c r="H36" s="321">
        <f t="shared" si="0"/>
        <v>-66323</v>
      </c>
      <c r="I36" s="321"/>
      <c r="J36" s="321"/>
      <c r="K36" s="321"/>
      <c r="L36" s="321"/>
      <c r="M36" s="321"/>
      <c r="N36" s="321"/>
      <c r="O36" s="321"/>
      <c r="P36" s="321"/>
      <c r="Q36" s="321"/>
      <c r="R36" s="321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39"/>
      <c r="AD36" s="339"/>
    </row>
    <row r="37" spans="1:30" s="324" customFormat="1" ht="28.5" x14ac:dyDescent="0.25">
      <c r="A37" s="303">
        <f t="shared" si="3"/>
        <v>16</v>
      </c>
      <c r="B37" s="336" t="s">
        <v>165</v>
      </c>
      <c r="C37" s="335" t="s">
        <v>26</v>
      </c>
      <c r="D37" s="330">
        <f>+'POPAYAN LCP'!D21</f>
        <v>178.5</v>
      </c>
      <c r="E37" s="307">
        <f>APU!F823</f>
        <v>66323</v>
      </c>
      <c r="F37" s="308">
        <f t="shared" si="1"/>
        <v>11838656</v>
      </c>
      <c r="G37" s="321">
        <f>+'POPAYAN LCP'!F21</f>
        <v>11838656</v>
      </c>
      <c r="H37" s="321">
        <f t="shared" si="0"/>
        <v>0</v>
      </c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39"/>
      <c r="AD37" s="339"/>
    </row>
    <row r="38" spans="1:30" s="324" customFormat="1" ht="85.5" x14ac:dyDescent="0.25">
      <c r="A38" s="303">
        <f t="shared" si="3"/>
        <v>17</v>
      </c>
      <c r="B38" s="336" t="s">
        <v>260</v>
      </c>
      <c r="C38" s="335" t="s">
        <v>33</v>
      </c>
      <c r="D38" s="330">
        <v>1</v>
      </c>
      <c r="E38" s="307">
        <v>969500</v>
      </c>
      <c r="F38" s="308">
        <f t="shared" si="1"/>
        <v>969500</v>
      </c>
      <c r="G38" s="321"/>
      <c r="H38" s="321">
        <f t="shared" si="0"/>
        <v>-969500</v>
      </c>
      <c r="I38" s="321"/>
      <c r="J38" s="321"/>
      <c r="K38" s="321"/>
      <c r="L38" s="321"/>
      <c r="M38" s="321"/>
      <c r="N38" s="321"/>
      <c r="O38" s="321"/>
      <c r="P38" s="321"/>
      <c r="Q38" s="321"/>
      <c r="R38" s="321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39"/>
      <c r="AD38" s="339"/>
    </row>
    <row r="39" spans="1:30" s="324" customFormat="1" x14ac:dyDescent="0.25">
      <c r="A39" s="303">
        <f t="shared" si="3"/>
        <v>18</v>
      </c>
      <c r="B39" s="336" t="s">
        <v>137</v>
      </c>
      <c r="C39" s="335" t="s">
        <v>62</v>
      </c>
      <c r="D39" s="330">
        <f>+'PUERTO TEJADA'!$D$27</f>
        <v>62</v>
      </c>
      <c r="E39" s="307">
        <f>+APU!F848</f>
        <v>105943</v>
      </c>
      <c r="F39" s="308">
        <f t="shared" si="1"/>
        <v>6568466</v>
      </c>
      <c r="G39" s="321">
        <f>+'PUERTO TEJADA'!F27</f>
        <v>6568466</v>
      </c>
      <c r="H39" s="321">
        <f t="shared" si="0"/>
        <v>0</v>
      </c>
      <c r="I39" s="321"/>
      <c r="J39" s="321"/>
      <c r="K39" s="321"/>
      <c r="L39" s="321"/>
      <c r="M39" s="321"/>
      <c r="N39" s="321"/>
      <c r="O39" s="321"/>
      <c r="P39" s="321"/>
      <c r="Q39" s="321"/>
      <c r="R39" s="321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39"/>
      <c r="AD39" s="339"/>
    </row>
    <row r="40" spans="1:30" s="324" customFormat="1" ht="28.5" x14ac:dyDescent="0.25">
      <c r="A40" s="303">
        <f t="shared" si="3"/>
        <v>19</v>
      </c>
      <c r="B40" s="336" t="s">
        <v>138</v>
      </c>
      <c r="C40" s="335" t="s">
        <v>62</v>
      </c>
      <c r="D40" s="330">
        <f>+'PUERTO TEJADA'!$D$28</f>
        <v>62</v>
      </c>
      <c r="E40" s="307">
        <f>+APU!F421</f>
        <v>1047812</v>
      </c>
      <c r="F40" s="308">
        <f t="shared" si="1"/>
        <v>64964344</v>
      </c>
      <c r="G40" s="321">
        <f>+'PUERTO TEJADA'!F28</f>
        <v>64964344</v>
      </c>
      <c r="H40" s="321">
        <f t="shared" si="0"/>
        <v>0</v>
      </c>
      <c r="I40" s="321"/>
      <c r="J40" s="321"/>
      <c r="K40" s="321"/>
      <c r="L40" s="321"/>
      <c r="M40" s="321"/>
      <c r="N40" s="321"/>
      <c r="O40" s="321"/>
      <c r="P40" s="321"/>
      <c r="Q40" s="321"/>
      <c r="R40" s="321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39"/>
      <c r="AD40" s="339"/>
    </row>
    <row r="41" spans="1:30" s="324" customFormat="1" ht="28.5" x14ac:dyDescent="0.25">
      <c r="A41" s="303">
        <f t="shared" si="3"/>
        <v>20</v>
      </c>
      <c r="B41" s="336" t="s">
        <v>139</v>
      </c>
      <c r="C41" s="335" t="s">
        <v>0</v>
      </c>
      <c r="D41" s="330">
        <f>+'PUERTO TEJADA'!$D$29</f>
        <v>3</v>
      </c>
      <c r="E41" s="307">
        <f>+APU!F442</f>
        <v>888639</v>
      </c>
      <c r="F41" s="308">
        <f t="shared" si="1"/>
        <v>2665917</v>
      </c>
      <c r="G41" s="321">
        <f>+'PUERTO TEJADA'!F29</f>
        <v>2665917</v>
      </c>
      <c r="H41" s="321">
        <f t="shared" si="0"/>
        <v>0</v>
      </c>
      <c r="I41" s="321"/>
      <c r="J41" s="321"/>
      <c r="K41" s="321"/>
      <c r="L41" s="321"/>
      <c r="M41" s="321"/>
      <c r="N41" s="321"/>
      <c r="O41" s="321"/>
      <c r="P41" s="321"/>
      <c r="Q41" s="321"/>
      <c r="R41" s="321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39"/>
      <c r="AD41" s="339"/>
    </row>
    <row r="42" spans="1:30" s="324" customFormat="1" ht="28.5" x14ac:dyDescent="0.25">
      <c r="A42" s="303">
        <f t="shared" si="3"/>
        <v>21</v>
      </c>
      <c r="B42" s="336" t="s">
        <v>142</v>
      </c>
      <c r="C42" s="335" t="s">
        <v>26</v>
      </c>
      <c r="D42" s="330">
        <f>+'PUERTO TEJADA'!$D$30</f>
        <v>155.06</v>
      </c>
      <c r="E42" s="307">
        <f>+APU!F699</f>
        <v>42608</v>
      </c>
      <c r="F42" s="308">
        <f t="shared" si="1"/>
        <v>6606796</v>
      </c>
      <c r="G42" s="321">
        <f>+'PUERTO TEJADA'!F30</f>
        <v>6606796</v>
      </c>
      <c r="H42" s="321">
        <f t="shared" si="0"/>
        <v>0</v>
      </c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39"/>
      <c r="AD42" s="339"/>
    </row>
    <row r="43" spans="1:30" s="324" customFormat="1" ht="28.5" x14ac:dyDescent="0.25">
      <c r="A43" s="303">
        <f t="shared" si="3"/>
        <v>22</v>
      </c>
      <c r="B43" s="336" t="s">
        <v>235</v>
      </c>
      <c r="C43" s="335" t="s">
        <v>26</v>
      </c>
      <c r="D43" s="330">
        <f>+'SANTANDER Q'!$D$23</f>
        <v>90.72</v>
      </c>
      <c r="E43" s="307">
        <f>+APU!F799</f>
        <v>72454</v>
      </c>
      <c r="F43" s="308">
        <f t="shared" si="1"/>
        <v>6573027</v>
      </c>
      <c r="G43" s="321">
        <f>+'SANTANDER Q'!F23</f>
        <v>6573027</v>
      </c>
      <c r="H43" s="321">
        <f t="shared" si="0"/>
        <v>0</v>
      </c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39"/>
      <c r="AD43" s="339"/>
    </row>
    <row r="44" spans="1:30" s="324" customFormat="1" ht="42.75" x14ac:dyDescent="0.25">
      <c r="A44" s="303">
        <f t="shared" si="3"/>
        <v>23</v>
      </c>
      <c r="B44" s="336" t="s">
        <v>234</v>
      </c>
      <c r="C44" s="335" t="s">
        <v>26</v>
      </c>
      <c r="D44" s="330">
        <f>+'SANTANDER Q'!$D$24</f>
        <v>594</v>
      </c>
      <c r="E44" s="307">
        <f>+APU!F379</f>
        <v>55453</v>
      </c>
      <c r="F44" s="308">
        <f t="shared" si="1"/>
        <v>32939082</v>
      </c>
      <c r="G44" s="321">
        <f>+'SANTANDER Q'!F24</f>
        <v>32939082</v>
      </c>
      <c r="H44" s="321">
        <f t="shared" si="0"/>
        <v>0</v>
      </c>
      <c r="I44" s="321"/>
      <c r="J44" s="321"/>
      <c r="K44" s="321"/>
      <c r="L44" s="321"/>
      <c r="M44" s="321"/>
      <c r="N44" s="321"/>
      <c r="O44" s="321"/>
      <c r="P44" s="321"/>
      <c r="Q44" s="321"/>
      <c r="R44" s="321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39"/>
      <c r="AD44" s="339"/>
    </row>
    <row r="45" spans="1:30" s="324" customFormat="1" ht="15" x14ac:dyDescent="0.25">
      <c r="A45" s="303"/>
      <c r="B45" s="328" t="s">
        <v>158</v>
      </c>
      <c r="C45" s="335"/>
      <c r="D45" s="330"/>
      <c r="E45" s="307"/>
      <c r="F45" s="308"/>
      <c r="G45" s="321"/>
      <c r="H45" s="321">
        <f t="shared" si="0"/>
        <v>0</v>
      </c>
      <c r="I45" s="321"/>
      <c r="J45" s="321"/>
      <c r="K45" s="321"/>
      <c r="L45" s="321"/>
      <c r="M45" s="321"/>
      <c r="N45" s="321"/>
      <c r="O45" s="321"/>
      <c r="P45" s="321"/>
      <c r="Q45" s="321"/>
      <c r="R45" s="321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39"/>
      <c r="AD45" s="339"/>
    </row>
    <row r="46" spans="1:30" s="324" customFormat="1" ht="28.5" x14ac:dyDescent="0.25">
      <c r="A46" s="303">
        <v>1</v>
      </c>
      <c r="B46" s="336" t="s">
        <v>153</v>
      </c>
      <c r="C46" s="335" t="s">
        <v>40</v>
      </c>
      <c r="D46" s="330">
        <f>+'PUERTO TEJADA'!$D$32+'SANTANDER Q'!$D$26+BORDO!$D$27</f>
        <v>24</v>
      </c>
      <c r="E46" s="307">
        <f>APU!F873</f>
        <v>697523</v>
      </c>
      <c r="F46" s="308">
        <f t="shared" si="1"/>
        <v>16740552</v>
      </c>
      <c r="G46" s="321">
        <f>+'PUERTO TEJADA'!F32+'SANTANDER Q'!F26+BORDO!F27</f>
        <v>16740552</v>
      </c>
      <c r="H46" s="321">
        <f t="shared" si="0"/>
        <v>0</v>
      </c>
      <c r="I46" s="321"/>
      <c r="J46" s="321"/>
      <c r="K46" s="321"/>
      <c r="L46" s="321"/>
      <c r="M46" s="321"/>
      <c r="N46" s="321"/>
      <c r="O46" s="321"/>
      <c r="P46" s="321"/>
      <c r="Q46" s="321"/>
      <c r="R46" s="321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39"/>
      <c r="AD46" s="339"/>
    </row>
    <row r="47" spans="1:30" s="324" customFormat="1" ht="28.5" x14ac:dyDescent="0.25">
      <c r="A47" s="303">
        <f>+A46+1</f>
        <v>2</v>
      </c>
      <c r="B47" s="336" t="s">
        <v>154</v>
      </c>
      <c r="C47" s="335" t="s">
        <v>40</v>
      </c>
      <c r="D47" s="330">
        <f>+'PUERTO TEJADA'!$D$33+'SANTANDER Q'!$D$27+BORDO!$D$28</f>
        <v>22</v>
      </c>
      <c r="E47" s="307">
        <f>APU!F899</f>
        <v>461600</v>
      </c>
      <c r="F47" s="308">
        <f t="shared" si="1"/>
        <v>10155200</v>
      </c>
      <c r="G47" s="321">
        <f>+'PUERTO TEJADA'!F33+'SANTANDER Q'!F27+BORDO!F28</f>
        <v>10155200</v>
      </c>
      <c r="H47" s="321">
        <f t="shared" si="0"/>
        <v>0</v>
      </c>
      <c r="I47" s="321"/>
      <c r="J47" s="321"/>
      <c r="K47" s="321"/>
      <c r="L47" s="321"/>
      <c r="M47" s="321"/>
      <c r="N47" s="321"/>
      <c r="O47" s="321"/>
      <c r="P47" s="321"/>
      <c r="Q47" s="321"/>
      <c r="R47" s="321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39"/>
      <c r="AD47" s="339"/>
    </row>
    <row r="48" spans="1:30" s="324" customFormat="1" ht="28.5" x14ac:dyDescent="0.25">
      <c r="A48" s="303">
        <f t="shared" ref="A48:A53" si="4">+A47+1</f>
        <v>3</v>
      </c>
      <c r="B48" s="336" t="s">
        <v>92</v>
      </c>
      <c r="C48" s="335" t="s">
        <v>40</v>
      </c>
      <c r="D48" s="330">
        <f>+BORDO!$D$29</f>
        <v>3</v>
      </c>
      <c r="E48" s="307">
        <f>APU!F924</f>
        <v>832523</v>
      </c>
      <c r="F48" s="308">
        <f t="shared" si="1"/>
        <v>2497569</v>
      </c>
      <c r="G48" s="321">
        <f>+BORDO!F29</f>
        <v>2497569</v>
      </c>
      <c r="H48" s="321">
        <f t="shared" si="0"/>
        <v>0</v>
      </c>
      <c r="I48" s="321"/>
      <c r="J48" s="321"/>
      <c r="K48" s="321"/>
      <c r="L48" s="321"/>
      <c r="M48" s="321"/>
      <c r="N48" s="321"/>
      <c r="O48" s="321"/>
      <c r="P48" s="321"/>
      <c r="Q48" s="321"/>
      <c r="R48" s="321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39"/>
      <c r="AD48" s="339"/>
    </row>
    <row r="49" spans="1:30" s="324" customFormat="1" ht="28.5" x14ac:dyDescent="0.25">
      <c r="A49" s="303">
        <f t="shared" si="4"/>
        <v>4</v>
      </c>
      <c r="B49" s="336" t="s">
        <v>61</v>
      </c>
      <c r="C49" s="335" t="s">
        <v>62</v>
      </c>
      <c r="D49" s="330">
        <f>+'PUERTO TEJADA'!$D$34+BORDO!$D$30</f>
        <v>8.5</v>
      </c>
      <c r="E49" s="307">
        <f>APU!F950</f>
        <v>36676</v>
      </c>
      <c r="F49" s="308">
        <f t="shared" si="1"/>
        <v>311746</v>
      </c>
      <c r="G49" s="321">
        <f>+'PUERTO TEJADA'!F34+BORDO!F30</f>
        <v>311746</v>
      </c>
      <c r="H49" s="321">
        <f t="shared" si="0"/>
        <v>0</v>
      </c>
      <c r="I49" s="321"/>
      <c r="J49" s="321"/>
      <c r="K49" s="321"/>
      <c r="L49" s="321"/>
      <c r="M49" s="321"/>
      <c r="N49" s="321"/>
      <c r="O49" s="321"/>
      <c r="P49" s="321"/>
      <c r="Q49" s="321"/>
      <c r="R49" s="321"/>
      <c r="S49" s="339"/>
      <c r="T49" s="339"/>
      <c r="U49" s="339"/>
      <c r="V49" s="339"/>
      <c r="W49" s="339"/>
      <c r="X49" s="339"/>
      <c r="Y49" s="339"/>
      <c r="Z49" s="339"/>
      <c r="AA49" s="339"/>
      <c r="AB49" s="339"/>
      <c r="AC49" s="339"/>
      <c r="AD49" s="339"/>
    </row>
    <row r="50" spans="1:30" s="324" customFormat="1" ht="28.5" x14ac:dyDescent="0.25">
      <c r="A50" s="303">
        <f t="shared" si="4"/>
        <v>5</v>
      </c>
      <c r="B50" s="336" t="s">
        <v>170</v>
      </c>
      <c r="C50" s="335" t="s">
        <v>40</v>
      </c>
      <c r="D50" s="330">
        <v>1</v>
      </c>
      <c r="E50" s="307">
        <f>APU!F973</f>
        <v>139800</v>
      </c>
      <c r="F50" s="308">
        <f t="shared" si="1"/>
        <v>139800</v>
      </c>
      <c r="G50" s="321"/>
      <c r="H50" s="321">
        <f t="shared" si="0"/>
        <v>-139800</v>
      </c>
      <c r="I50" s="321"/>
      <c r="J50" s="321"/>
      <c r="K50" s="321"/>
      <c r="L50" s="321"/>
      <c r="M50" s="321"/>
      <c r="N50" s="321"/>
      <c r="O50" s="321"/>
      <c r="P50" s="321"/>
      <c r="Q50" s="321"/>
      <c r="R50" s="321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39"/>
      <c r="AD50" s="339"/>
    </row>
    <row r="51" spans="1:30" s="324" customFormat="1" ht="28.5" x14ac:dyDescent="0.25">
      <c r="A51" s="303">
        <f t="shared" si="4"/>
        <v>6</v>
      </c>
      <c r="B51" s="336" t="s">
        <v>171</v>
      </c>
      <c r="C51" s="335" t="s">
        <v>40</v>
      </c>
      <c r="D51" s="330">
        <v>1</v>
      </c>
      <c r="E51" s="307">
        <f>APU!F997</f>
        <v>355800</v>
      </c>
      <c r="F51" s="308">
        <f t="shared" si="1"/>
        <v>355800</v>
      </c>
      <c r="G51" s="321"/>
      <c r="H51" s="321">
        <f t="shared" si="0"/>
        <v>-355800</v>
      </c>
      <c r="I51" s="321"/>
      <c r="J51" s="321"/>
      <c r="K51" s="321"/>
      <c r="L51" s="321"/>
      <c r="M51" s="321"/>
      <c r="N51" s="321"/>
      <c r="O51" s="321"/>
      <c r="P51" s="321"/>
      <c r="Q51" s="321"/>
      <c r="R51" s="321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39"/>
      <c r="AD51" s="339"/>
    </row>
    <row r="52" spans="1:30" s="324" customFormat="1" ht="28.5" x14ac:dyDescent="0.25">
      <c r="A52" s="303">
        <f t="shared" si="4"/>
        <v>7</v>
      </c>
      <c r="B52" s="336" t="s">
        <v>172</v>
      </c>
      <c r="C52" s="335" t="s">
        <v>40</v>
      </c>
      <c r="D52" s="330">
        <v>1</v>
      </c>
      <c r="E52" s="307">
        <f>APU!F1021</f>
        <v>414225</v>
      </c>
      <c r="F52" s="308">
        <f t="shared" si="1"/>
        <v>414225</v>
      </c>
      <c r="G52" s="321"/>
      <c r="H52" s="321">
        <f t="shared" si="0"/>
        <v>-414225</v>
      </c>
      <c r="I52" s="321"/>
      <c r="J52" s="321"/>
      <c r="K52" s="321"/>
      <c r="L52" s="321"/>
      <c r="M52" s="321"/>
      <c r="N52" s="321"/>
      <c r="O52" s="321"/>
      <c r="P52" s="321"/>
      <c r="Q52" s="321"/>
      <c r="R52" s="321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39"/>
      <c r="AD52" s="339"/>
    </row>
    <row r="53" spans="1:30" s="324" customFormat="1" x14ac:dyDescent="0.25">
      <c r="A53" s="303">
        <f t="shared" si="4"/>
        <v>8</v>
      </c>
      <c r="B53" s="336" t="s">
        <v>140</v>
      </c>
      <c r="C53" s="335" t="s">
        <v>33</v>
      </c>
      <c r="D53" s="330">
        <f>+'PUERTO TEJADA'!$D$35</f>
        <v>18</v>
      </c>
      <c r="E53" s="307">
        <f>+APU!F464</f>
        <v>70927</v>
      </c>
      <c r="F53" s="308">
        <f t="shared" si="1"/>
        <v>1276686</v>
      </c>
      <c r="G53" s="321">
        <f>+'PUERTO TEJADA'!F35</f>
        <v>1276686</v>
      </c>
      <c r="H53" s="321">
        <f t="shared" si="0"/>
        <v>0</v>
      </c>
      <c r="I53" s="321"/>
      <c r="J53" s="321"/>
      <c r="K53" s="321"/>
      <c r="L53" s="321"/>
      <c r="M53" s="321"/>
      <c r="N53" s="321"/>
      <c r="O53" s="321"/>
      <c r="P53" s="321"/>
      <c r="Q53" s="321"/>
      <c r="R53" s="321"/>
      <c r="S53" s="339"/>
      <c r="T53" s="339"/>
      <c r="U53" s="339"/>
      <c r="V53" s="339"/>
      <c r="W53" s="339"/>
      <c r="X53" s="339"/>
      <c r="Y53" s="339"/>
      <c r="Z53" s="339"/>
      <c r="AA53" s="339"/>
      <c r="AB53" s="339"/>
      <c r="AC53" s="339"/>
      <c r="AD53" s="339"/>
    </row>
    <row r="54" spans="1:30" s="324" customFormat="1" ht="28.5" x14ac:dyDescent="0.25">
      <c r="A54" s="303">
        <v>9</v>
      </c>
      <c r="B54" s="336" t="s">
        <v>237</v>
      </c>
      <c r="C54" s="335" t="s">
        <v>33</v>
      </c>
      <c r="D54" s="330">
        <f>+BORDO!D31</f>
        <v>60</v>
      </c>
      <c r="E54" s="307">
        <f>+APU!F489</f>
        <v>41601</v>
      </c>
      <c r="F54" s="308">
        <f t="shared" si="1"/>
        <v>2496060</v>
      </c>
      <c r="G54" s="321">
        <f>+BORDO!F31</f>
        <v>2496060</v>
      </c>
      <c r="H54" s="321">
        <f t="shared" si="0"/>
        <v>0</v>
      </c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339"/>
      <c r="T54" s="339"/>
      <c r="U54" s="339"/>
      <c r="V54" s="339"/>
      <c r="W54" s="339"/>
      <c r="X54" s="339"/>
      <c r="Y54" s="339"/>
      <c r="Z54" s="339"/>
      <c r="AA54" s="339"/>
      <c r="AB54" s="339"/>
      <c r="AC54" s="339"/>
      <c r="AD54" s="339"/>
    </row>
    <row r="55" spans="1:30" s="324" customFormat="1" ht="15" x14ac:dyDescent="0.25">
      <c r="A55" s="303"/>
      <c r="B55" s="328" t="s">
        <v>144</v>
      </c>
      <c r="C55" s="335"/>
      <c r="D55" s="330"/>
      <c r="E55" s="307"/>
      <c r="F55" s="308"/>
      <c r="G55" s="321"/>
      <c r="H55" s="321">
        <f t="shared" si="0"/>
        <v>0</v>
      </c>
      <c r="I55" s="321"/>
      <c r="J55" s="321"/>
      <c r="K55" s="321"/>
      <c r="L55" s="321"/>
      <c r="M55" s="321"/>
      <c r="N55" s="321"/>
      <c r="O55" s="321"/>
      <c r="P55" s="321"/>
      <c r="Q55" s="321"/>
      <c r="R55" s="321"/>
      <c r="S55" s="339"/>
      <c r="T55" s="339"/>
      <c r="U55" s="339"/>
      <c r="V55" s="339"/>
      <c r="W55" s="339"/>
      <c r="X55" s="339"/>
      <c r="Y55" s="339"/>
      <c r="Z55" s="339"/>
      <c r="AA55" s="339"/>
      <c r="AB55" s="339"/>
      <c r="AC55" s="339"/>
      <c r="AD55" s="339"/>
    </row>
    <row r="56" spans="1:30" s="324" customFormat="1" x14ac:dyDescent="0.25">
      <c r="A56" s="303">
        <v>1</v>
      </c>
      <c r="B56" s="336" t="s">
        <v>173</v>
      </c>
      <c r="C56" s="335" t="s">
        <v>40</v>
      </c>
      <c r="D56" s="330">
        <v>1</v>
      </c>
      <c r="E56" s="307">
        <f>APU!F1047</f>
        <v>90000</v>
      </c>
      <c r="F56" s="308">
        <f t="shared" si="1"/>
        <v>90000</v>
      </c>
      <c r="G56" s="321"/>
      <c r="H56" s="321">
        <f t="shared" si="0"/>
        <v>-90000</v>
      </c>
      <c r="I56" s="321"/>
      <c r="J56" s="321"/>
      <c r="K56" s="321"/>
      <c r="L56" s="321"/>
      <c r="M56" s="321"/>
      <c r="N56" s="321"/>
      <c r="O56" s="321"/>
      <c r="P56" s="321"/>
      <c r="Q56" s="321"/>
      <c r="R56" s="321"/>
      <c r="S56" s="339"/>
      <c r="T56" s="339"/>
      <c r="U56" s="339"/>
      <c r="V56" s="339"/>
      <c r="W56" s="339"/>
      <c r="X56" s="339"/>
      <c r="Y56" s="339"/>
      <c r="Z56" s="339"/>
      <c r="AA56" s="339"/>
      <c r="AB56" s="339"/>
      <c r="AC56" s="339"/>
      <c r="AD56" s="339"/>
    </row>
    <row r="57" spans="1:30" s="324" customFormat="1" ht="28.5" x14ac:dyDescent="0.25">
      <c r="A57" s="303">
        <f>+A56+1</f>
        <v>2</v>
      </c>
      <c r="B57" s="336" t="s">
        <v>166</v>
      </c>
      <c r="C57" s="335" t="s">
        <v>40</v>
      </c>
      <c r="D57" s="330">
        <f>+'SANTANDER Q'!$D$29</f>
        <v>40</v>
      </c>
      <c r="E57" s="307">
        <f>APU!F1072</f>
        <v>161281</v>
      </c>
      <c r="F57" s="308">
        <f t="shared" si="1"/>
        <v>6451240</v>
      </c>
      <c r="G57" s="321">
        <f>+'SANTANDER Q'!F29</f>
        <v>6451240</v>
      </c>
      <c r="H57" s="321">
        <f t="shared" si="0"/>
        <v>0</v>
      </c>
      <c r="I57" s="321"/>
      <c r="J57" s="321"/>
      <c r="K57" s="321"/>
      <c r="L57" s="321"/>
      <c r="M57" s="321"/>
      <c r="N57" s="321"/>
      <c r="O57" s="321"/>
      <c r="P57" s="321"/>
      <c r="Q57" s="321"/>
      <c r="R57" s="321"/>
      <c r="S57" s="339"/>
      <c r="T57" s="339"/>
      <c r="U57" s="339"/>
      <c r="V57" s="339"/>
      <c r="W57" s="339"/>
      <c r="X57" s="339"/>
      <c r="Y57" s="339"/>
      <c r="Z57" s="339"/>
      <c r="AA57" s="339"/>
      <c r="AB57" s="339"/>
      <c r="AC57" s="339"/>
      <c r="AD57" s="339"/>
    </row>
    <row r="58" spans="1:30" s="324" customFormat="1" ht="28.5" x14ac:dyDescent="0.25">
      <c r="A58" s="303">
        <f>+A57+1</f>
        <v>3</v>
      </c>
      <c r="B58" s="336" t="s">
        <v>167</v>
      </c>
      <c r="C58" s="335" t="s">
        <v>40</v>
      </c>
      <c r="D58" s="330">
        <f>+BORDO!$D$33</f>
        <v>20</v>
      </c>
      <c r="E58" s="307">
        <f>APU!F1097</f>
        <v>149281</v>
      </c>
      <c r="F58" s="308">
        <f t="shared" si="1"/>
        <v>2985620</v>
      </c>
      <c r="G58" s="321">
        <f>+BORDO!F33</f>
        <v>2985620</v>
      </c>
      <c r="H58" s="321">
        <f t="shared" si="0"/>
        <v>0</v>
      </c>
      <c r="I58" s="321"/>
      <c r="J58" s="321"/>
      <c r="K58" s="321"/>
      <c r="L58" s="321"/>
      <c r="M58" s="321"/>
      <c r="N58" s="321"/>
      <c r="O58" s="321"/>
      <c r="P58" s="321"/>
      <c r="Q58" s="321"/>
      <c r="R58" s="321"/>
      <c r="S58" s="339"/>
      <c r="T58" s="339"/>
      <c r="U58" s="339"/>
      <c r="V58" s="339"/>
      <c r="W58" s="339"/>
      <c r="X58" s="339"/>
      <c r="Y58" s="339"/>
      <c r="Z58" s="339"/>
      <c r="AA58" s="339"/>
      <c r="AB58" s="339"/>
      <c r="AC58" s="339"/>
      <c r="AD58" s="339"/>
    </row>
    <row r="59" spans="1:30" s="324" customFormat="1" ht="28.5" x14ac:dyDescent="0.25">
      <c r="A59" s="303">
        <f>+A58+1</f>
        <v>4</v>
      </c>
      <c r="B59" s="336" t="s">
        <v>155</v>
      </c>
      <c r="C59" s="335" t="s">
        <v>40</v>
      </c>
      <c r="D59" s="330">
        <f>+'PUERTO TEJADA'!$D$37+BORDO!$D$34</f>
        <v>80</v>
      </c>
      <c r="E59" s="307">
        <f>+APU!F1121</f>
        <v>55517</v>
      </c>
      <c r="F59" s="308">
        <f t="shared" si="1"/>
        <v>4441360</v>
      </c>
      <c r="G59" s="321">
        <f>+'PUERTO TEJADA'!F37+BORDO!F34</f>
        <v>4441360</v>
      </c>
      <c r="H59" s="321">
        <f t="shared" si="0"/>
        <v>0</v>
      </c>
      <c r="I59" s="321"/>
      <c r="J59" s="321"/>
      <c r="K59" s="321"/>
      <c r="L59" s="321"/>
      <c r="M59" s="321"/>
      <c r="N59" s="321"/>
      <c r="O59" s="321"/>
      <c r="P59" s="321"/>
      <c r="Q59" s="321"/>
      <c r="R59" s="321"/>
      <c r="S59" s="339"/>
      <c r="T59" s="339"/>
      <c r="U59" s="339"/>
      <c r="V59" s="339"/>
      <c r="W59" s="339"/>
      <c r="X59" s="339"/>
      <c r="Y59" s="339"/>
      <c r="Z59" s="339"/>
      <c r="AA59" s="339"/>
      <c r="AB59" s="339"/>
      <c r="AC59" s="339"/>
      <c r="AD59" s="339"/>
    </row>
    <row r="60" spans="1:30" ht="15" x14ac:dyDescent="0.25">
      <c r="A60" s="297" t="s">
        <v>131</v>
      </c>
      <c r="B60" s="298" t="s">
        <v>132</v>
      </c>
      <c r="C60" s="299"/>
      <c r="D60" s="300"/>
      <c r="E60" s="301"/>
      <c r="F60" s="302"/>
      <c r="G60" s="321">
        <f>+SUM(F12:F59)</f>
        <v>1067627455</v>
      </c>
      <c r="H60" s="321">
        <f>+G60-'PUERTO TEJADA'!F38-'SANTANDER Q'!F30-BORDO!F35-'POPAYAN FPS'!F20-'POPAYAN LCP'!F22-ADOLESCENTES!F22</f>
        <v>2660479</v>
      </c>
    </row>
    <row r="61" spans="1:30" s="324" customFormat="1" ht="15" x14ac:dyDescent="0.25">
      <c r="A61" s="303"/>
      <c r="B61" s="328" t="s">
        <v>55</v>
      </c>
      <c r="C61" s="329"/>
      <c r="D61" s="330"/>
      <c r="E61" s="307"/>
      <c r="F61" s="308"/>
      <c r="G61" s="321"/>
      <c r="H61" s="321"/>
      <c r="I61" s="321"/>
      <c r="J61" s="321"/>
      <c r="K61" s="321"/>
      <c r="L61" s="321"/>
      <c r="M61" s="321"/>
      <c r="N61" s="321"/>
      <c r="O61" s="321"/>
      <c r="P61" s="321"/>
      <c r="Q61" s="340"/>
      <c r="R61" s="321"/>
      <c r="S61" s="339"/>
      <c r="T61" s="339"/>
      <c r="U61" s="339"/>
      <c r="V61" s="339"/>
      <c r="W61" s="339"/>
      <c r="X61" s="339"/>
      <c r="Y61" s="339"/>
      <c r="Z61" s="339"/>
      <c r="AA61" s="339"/>
      <c r="AB61" s="339"/>
      <c r="AC61" s="339"/>
      <c r="AD61" s="339"/>
    </row>
    <row r="62" spans="1:30" x14ac:dyDescent="0.25">
      <c r="A62" s="309">
        <v>1</v>
      </c>
      <c r="B62" s="331" t="s">
        <v>57</v>
      </c>
      <c r="C62" s="332" t="s">
        <v>33</v>
      </c>
      <c r="D62" s="333">
        <v>1</v>
      </c>
      <c r="E62" s="334">
        <f>APU!F1146</f>
        <v>27425</v>
      </c>
      <c r="F62" s="308">
        <f t="shared" si="1"/>
        <v>27425</v>
      </c>
    </row>
    <row r="63" spans="1:30" s="324" customFormat="1" ht="15" x14ac:dyDescent="0.25">
      <c r="A63" s="303"/>
      <c r="B63" s="328" t="s">
        <v>58</v>
      </c>
      <c r="C63" s="335"/>
      <c r="D63" s="330"/>
      <c r="E63" s="307"/>
      <c r="F63" s="308"/>
      <c r="G63" s="321"/>
      <c r="H63" s="321"/>
      <c r="I63" s="321"/>
      <c r="J63" s="321"/>
      <c r="K63" s="321"/>
      <c r="L63" s="321"/>
      <c r="M63" s="321"/>
      <c r="N63" s="321"/>
      <c r="O63" s="321"/>
      <c r="P63" s="321"/>
      <c r="Q63" s="321"/>
      <c r="R63" s="321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39"/>
      <c r="AD63" s="339"/>
    </row>
    <row r="64" spans="1:30" ht="28.5" x14ac:dyDescent="0.25">
      <c r="A64" s="309">
        <v>1</v>
      </c>
      <c r="B64" s="331" t="s">
        <v>94</v>
      </c>
      <c r="C64" s="332" t="s">
        <v>26</v>
      </c>
      <c r="D64" s="333">
        <v>1</v>
      </c>
      <c r="E64" s="334">
        <f>APU!F1176</f>
        <v>39026</v>
      </c>
      <c r="F64" s="308">
        <f t="shared" si="1"/>
        <v>39026</v>
      </c>
      <c r="Q64" s="373"/>
      <c r="R64" s="373"/>
      <c r="S64" s="373"/>
    </row>
    <row r="65" spans="1:30" ht="28.5" x14ac:dyDescent="0.25">
      <c r="A65" s="309">
        <f>+A64+1</f>
        <v>2</v>
      </c>
      <c r="B65" s="331" t="s">
        <v>69</v>
      </c>
      <c r="C65" s="332" t="s">
        <v>26</v>
      </c>
      <c r="D65" s="333">
        <v>1</v>
      </c>
      <c r="E65" s="334">
        <f>APU!F1206</f>
        <v>40536</v>
      </c>
      <c r="F65" s="308">
        <f t="shared" si="1"/>
        <v>40536</v>
      </c>
    </row>
    <row r="66" spans="1:30" ht="28.5" x14ac:dyDescent="0.25">
      <c r="A66" s="309">
        <f>+A65+1</f>
        <v>3</v>
      </c>
      <c r="B66" s="331" t="s">
        <v>168</v>
      </c>
      <c r="C66" s="332" t="s">
        <v>26</v>
      </c>
      <c r="D66" s="333">
        <v>1</v>
      </c>
      <c r="E66" s="334">
        <f>APU!F1229</f>
        <v>57568</v>
      </c>
      <c r="F66" s="308">
        <f t="shared" si="1"/>
        <v>57568</v>
      </c>
    </row>
    <row r="67" spans="1:30" s="324" customFormat="1" ht="15" x14ac:dyDescent="0.25">
      <c r="A67" s="309"/>
      <c r="B67" s="328" t="s">
        <v>158</v>
      </c>
      <c r="C67" s="335"/>
      <c r="D67" s="330"/>
      <c r="E67" s="307"/>
      <c r="F67" s="308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39"/>
      <c r="AD67" s="339"/>
    </row>
    <row r="68" spans="1:30" ht="28.5" x14ac:dyDescent="0.25">
      <c r="A68" s="309">
        <v>1</v>
      </c>
      <c r="B68" s="331" t="s">
        <v>170</v>
      </c>
      <c r="C68" s="332" t="s">
        <v>40</v>
      </c>
      <c r="D68" s="333">
        <v>1</v>
      </c>
      <c r="E68" s="334">
        <f>APU!F1252</f>
        <v>176870</v>
      </c>
      <c r="F68" s="308">
        <f t="shared" si="1"/>
        <v>176870</v>
      </c>
    </row>
    <row r="69" spans="1:30" ht="28.5" x14ac:dyDescent="0.25">
      <c r="A69" s="309">
        <f>+A68+1</f>
        <v>2</v>
      </c>
      <c r="B69" s="331" t="s">
        <v>171</v>
      </c>
      <c r="C69" s="332" t="s">
        <v>40</v>
      </c>
      <c r="D69" s="333">
        <v>1</v>
      </c>
      <c r="E69" s="334">
        <f>APU!F1276</f>
        <v>466158</v>
      </c>
      <c r="F69" s="308">
        <f t="shared" si="1"/>
        <v>466158</v>
      </c>
    </row>
    <row r="70" spans="1:30" ht="28.5" x14ac:dyDescent="0.25">
      <c r="A70" s="309">
        <f>+A69+1</f>
        <v>3</v>
      </c>
      <c r="B70" s="331" t="s">
        <v>172</v>
      </c>
      <c r="C70" s="332" t="s">
        <v>40</v>
      </c>
      <c r="D70" s="333">
        <v>1</v>
      </c>
      <c r="E70" s="334">
        <f>APU!F1300</f>
        <v>676232</v>
      </c>
      <c r="F70" s="308">
        <f t="shared" si="1"/>
        <v>676232</v>
      </c>
    </row>
    <row r="71" spans="1:30" s="324" customFormat="1" ht="15" x14ac:dyDescent="0.25">
      <c r="A71" s="303"/>
      <c r="B71" s="328" t="s">
        <v>144</v>
      </c>
      <c r="C71" s="335"/>
      <c r="D71" s="330"/>
      <c r="E71" s="307"/>
      <c r="F71" s="308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321"/>
      <c r="S71" s="339"/>
      <c r="T71" s="339"/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</row>
    <row r="72" spans="1:30" x14ac:dyDescent="0.25">
      <c r="A72" s="309">
        <v>1</v>
      </c>
      <c r="B72" s="331" t="s">
        <v>173</v>
      </c>
      <c r="C72" s="332" t="s">
        <v>40</v>
      </c>
      <c r="D72" s="333">
        <v>1</v>
      </c>
      <c r="E72" s="334">
        <f>APU!F1326</f>
        <v>116883</v>
      </c>
      <c r="F72" s="308">
        <f t="shared" si="1"/>
        <v>116883</v>
      </c>
    </row>
    <row r="73" spans="1:30" ht="15" x14ac:dyDescent="0.25">
      <c r="A73" s="297" t="s">
        <v>134</v>
      </c>
      <c r="B73" s="298" t="s">
        <v>130</v>
      </c>
      <c r="C73" s="299"/>
      <c r="D73" s="300"/>
      <c r="E73" s="301"/>
      <c r="F73" s="302"/>
    </row>
    <row r="74" spans="1:30" ht="43.5" thickBot="1" x14ac:dyDescent="0.3">
      <c r="A74" s="310" t="s">
        <v>136</v>
      </c>
      <c r="B74" s="311" t="s">
        <v>174</v>
      </c>
      <c r="C74" s="312" t="s">
        <v>135</v>
      </c>
      <c r="D74" s="313">
        <v>1</v>
      </c>
      <c r="E74" s="314">
        <v>365436445</v>
      </c>
      <c r="F74" s="308">
        <f t="shared" si="1"/>
        <v>365436445</v>
      </c>
    </row>
    <row r="75" spans="1:30" ht="15" x14ac:dyDescent="0.25">
      <c r="A75" s="386" t="s">
        <v>13</v>
      </c>
      <c r="B75" s="387"/>
      <c r="C75" s="387"/>
      <c r="D75" s="387"/>
      <c r="E75" s="387"/>
      <c r="F75" s="315">
        <f>+SUM(F12:F74)</f>
        <v>1434664598</v>
      </c>
    </row>
    <row r="76" spans="1:30" ht="15" x14ac:dyDescent="0.25">
      <c r="A76" s="388" t="s">
        <v>1</v>
      </c>
      <c r="B76" s="389"/>
      <c r="C76" s="389"/>
      <c r="D76" s="389"/>
      <c r="E76" s="316">
        <v>0.2</v>
      </c>
      <c r="F76" s="317">
        <f>ROUND(F75*E76,0)</f>
        <v>286932920</v>
      </c>
    </row>
    <row r="77" spans="1:30" ht="15" x14ac:dyDescent="0.25">
      <c r="A77" s="388" t="s">
        <v>2</v>
      </c>
      <c r="B77" s="389"/>
      <c r="C77" s="389"/>
      <c r="D77" s="389"/>
      <c r="E77" s="316">
        <v>0.03</v>
      </c>
      <c r="F77" s="317">
        <f>ROUND(F75*E77,0)</f>
        <v>43039938</v>
      </c>
    </row>
    <row r="78" spans="1:30" ht="15" x14ac:dyDescent="0.25">
      <c r="A78" s="388" t="s">
        <v>3</v>
      </c>
      <c r="B78" s="389"/>
      <c r="C78" s="389"/>
      <c r="D78" s="389"/>
      <c r="E78" s="316">
        <v>0.05</v>
      </c>
      <c r="F78" s="317">
        <f>ROUND(F75*E78,0)</f>
        <v>71733230</v>
      </c>
    </row>
    <row r="79" spans="1:30" ht="15.75" thickBot="1" x14ac:dyDescent="0.3">
      <c r="A79" s="390" t="s">
        <v>4</v>
      </c>
      <c r="B79" s="391"/>
      <c r="C79" s="391"/>
      <c r="D79" s="391"/>
      <c r="E79" s="318">
        <v>0.19</v>
      </c>
      <c r="F79" s="319">
        <f>ROUND(F78*E79,0)</f>
        <v>13629314</v>
      </c>
    </row>
    <row r="80" spans="1:30" ht="15.75" thickBot="1" x14ac:dyDescent="0.3">
      <c r="A80" s="361" t="s">
        <v>14</v>
      </c>
      <c r="B80" s="362"/>
      <c r="C80" s="362"/>
      <c r="D80" s="362"/>
      <c r="E80" s="363"/>
      <c r="F80" s="320">
        <f>SUM(F75:F79)</f>
        <v>1850000000</v>
      </c>
    </row>
    <row r="81" spans="1:7" x14ac:dyDescent="0.2">
      <c r="A81" s="364" t="s">
        <v>156</v>
      </c>
      <c r="B81" s="365"/>
      <c r="C81" s="365"/>
      <c r="D81" s="365"/>
      <c r="E81" s="365"/>
      <c r="F81" s="366"/>
      <c r="G81" s="341"/>
    </row>
    <row r="82" spans="1:7" x14ac:dyDescent="0.25">
      <c r="A82" s="367"/>
      <c r="B82" s="368"/>
      <c r="C82" s="368"/>
      <c r="D82" s="368"/>
      <c r="E82" s="368"/>
      <c r="F82" s="369"/>
    </row>
    <row r="83" spans="1:7" ht="15" thickBot="1" x14ac:dyDescent="0.3">
      <c r="A83" s="370"/>
      <c r="B83" s="371"/>
      <c r="C83" s="371"/>
      <c r="D83" s="371"/>
      <c r="E83" s="371"/>
      <c r="F83" s="372"/>
    </row>
  </sheetData>
  <mergeCells count="11">
    <mergeCell ref="A80:E80"/>
    <mergeCell ref="A81:F83"/>
    <mergeCell ref="Q64:S64"/>
    <mergeCell ref="A5:F7"/>
    <mergeCell ref="A1:F2"/>
    <mergeCell ref="A3:F4"/>
    <mergeCell ref="A75:E75"/>
    <mergeCell ref="A76:D76"/>
    <mergeCell ref="A77:D77"/>
    <mergeCell ref="A78:D78"/>
    <mergeCell ref="A79:D79"/>
  </mergeCells>
  <phoneticPr fontId="9" type="noConversion"/>
  <pageMargins left="0.70866141732283472" right="0.70866141732283472" top="0.74803149606299213" bottom="0.74803149606299213" header="0.31496062992125984" footer="0.31496062992125984"/>
  <pageSetup scale="67" fitToHeight="0" orientation="portrait" horizont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358A4-CF97-4A47-8B9E-02248528FC38}">
  <sheetPr>
    <tabColor rgb="FF99FF99"/>
    <pageSetUpPr fitToPage="1"/>
  </sheetPr>
  <dimension ref="A1:AC46"/>
  <sheetViews>
    <sheetView tabSelected="1" view="pageBreakPreview" zoomScale="89" zoomScaleNormal="89" zoomScaleSheetLayoutView="89" workbookViewId="0">
      <selection activeCell="G13" sqref="G1:XFD1048576"/>
    </sheetView>
  </sheetViews>
  <sheetFormatPr baseColWidth="10" defaultColWidth="0" defaultRowHeight="14.25" x14ac:dyDescent="0.25"/>
  <cols>
    <col min="1" max="1" width="6.28515625" style="345" bestFit="1" customWidth="1"/>
    <col min="2" max="2" width="79.42578125" style="345" bestFit="1" customWidth="1"/>
    <col min="3" max="3" width="5.7109375" style="345" bestFit="1" customWidth="1"/>
    <col min="4" max="4" width="8.7109375" style="325" bestFit="1" customWidth="1"/>
    <col min="5" max="5" width="15.5703125" style="323" bestFit="1" customWidth="1"/>
    <col min="6" max="6" width="17.85546875" style="344" bestFit="1" customWidth="1"/>
    <col min="7" max="11" width="7.5703125" style="321" hidden="1" customWidth="1"/>
    <col min="12" max="15" width="6.42578125" style="321" hidden="1" customWidth="1"/>
    <col min="16" max="16" width="7.5703125" style="321" hidden="1" customWidth="1"/>
    <col min="17" max="20" width="6.42578125" style="321" hidden="1" customWidth="1"/>
    <col min="21" max="22" width="7.5703125" style="321" hidden="1" customWidth="1"/>
    <col min="23" max="24" width="6.42578125" style="321" hidden="1" customWidth="1"/>
    <col min="25" max="25" width="5.28515625" style="321" hidden="1" customWidth="1"/>
    <col min="26" max="27" width="6.42578125" style="321" hidden="1" customWidth="1"/>
    <col min="28" max="29" width="7.5703125" style="321" hidden="1" customWidth="1"/>
    <col min="30" max="16384" width="11.42578125" style="321" hidden="1"/>
  </cols>
  <sheetData>
    <row r="1" spans="1:15" x14ac:dyDescent="0.25">
      <c r="A1" s="396" t="s">
        <v>146</v>
      </c>
      <c r="B1" s="397"/>
      <c r="C1" s="397"/>
      <c r="D1" s="397"/>
      <c r="E1" s="397"/>
      <c r="F1" s="398"/>
    </row>
    <row r="2" spans="1:15" x14ac:dyDescent="0.25">
      <c r="A2" s="399"/>
      <c r="B2" s="400"/>
      <c r="C2" s="400"/>
      <c r="D2" s="400"/>
      <c r="E2" s="400"/>
      <c r="F2" s="401"/>
    </row>
    <row r="3" spans="1:15" x14ac:dyDescent="0.25">
      <c r="A3" s="402" t="s">
        <v>5</v>
      </c>
      <c r="B3" s="403"/>
      <c r="C3" s="403"/>
      <c r="D3" s="403"/>
      <c r="E3" s="403"/>
      <c r="F3" s="404"/>
    </row>
    <row r="4" spans="1:15" x14ac:dyDescent="0.25">
      <c r="A4" s="402"/>
      <c r="B4" s="403"/>
      <c r="C4" s="403"/>
      <c r="D4" s="403"/>
      <c r="E4" s="403"/>
      <c r="F4" s="404"/>
    </row>
    <row r="5" spans="1:15" x14ac:dyDescent="0.25">
      <c r="A5" s="405" t="s">
        <v>145</v>
      </c>
      <c r="B5" s="406"/>
      <c r="C5" s="406"/>
      <c r="D5" s="406"/>
      <c r="E5" s="406"/>
      <c r="F5" s="407"/>
    </row>
    <row r="6" spans="1:15" x14ac:dyDescent="0.25">
      <c r="A6" s="405"/>
      <c r="B6" s="406"/>
      <c r="C6" s="406"/>
      <c r="D6" s="406"/>
      <c r="E6" s="406"/>
      <c r="F6" s="407"/>
    </row>
    <row r="7" spans="1:15" ht="15" thickBot="1" x14ac:dyDescent="0.3">
      <c r="A7" s="405"/>
      <c r="B7" s="406"/>
      <c r="C7" s="406"/>
      <c r="D7" s="406"/>
      <c r="E7" s="406"/>
      <c r="F7" s="407"/>
    </row>
    <row r="8" spans="1:15" ht="15.75" thickBot="1" x14ac:dyDescent="0.3">
      <c r="A8" s="286" t="s">
        <v>9</v>
      </c>
      <c r="B8" s="287" t="s">
        <v>10</v>
      </c>
      <c r="C8" s="287" t="s">
        <v>0</v>
      </c>
      <c r="D8" s="288" t="s">
        <v>6</v>
      </c>
      <c r="E8" s="289" t="s">
        <v>7</v>
      </c>
      <c r="F8" s="290" t="s">
        <v>8</v>
      </c>
    </row>
    <row r="9" spans="1:15" ht="15" x14ac:dyDescent="0.25">
      <c r="A9" s="291" t="s">
        <v>12</v>
      </c>
      <c r="B9" s="292" t="s">
        <v>11</v>
      </c>
      <c r="C9" s="293"/>
      <c r="D9" s="294"/>
      <c r="E9" s="295"/>
      <c r="F9" s="296"/>
    </row>
    <row r="10" spans="1:15" s="339" customFormat="1" ht="15" x14ac:dyDescent="0.25">
      <c r="A10" s="297" t="s">
        <v>133</v>
      </c>
      <c r="B10" s="298" t="s">
        <v>238</v>
      </c>
      <c r="C10" s="299"/>
      <c r="D10" s="300"/>
      <c r="E10" s="301"/>
      <c r="F10" s="302"/>
      <c r="G10" s="321"/>
      <c r="H10" s="321"/>
      <c r="I10" s="321"/>
      <c r="J10" s="321"/>
      <c r="K10" s="321"/>
      <c r="L10" s="321"/>
      <c r="M10" s="321"/>
      <c r="N10" s="338"/>
      <c r="O10" s="321"/>
    </row>
    <row r="11" spans="1:15" s="339" customFormat="1" ht="15" x14ac:dyDescent="0.25">
      <c r="A11" s="303"/>
      <c r="B11" s="304" t="s">
        <v>55</v>
      </c>
      <c r="C11" s="305"/>
      <c r="D11" s="306"/>
      <c r="E11" s="307"/>
      <c r="F11" s="308"/>
      <c r="G11" s="321"/>
      <c r="H11" s="321"/>
      <c r="I11" s="321"/>
      <c r="J11" s="321"/>
      <c r="K11" s="321"/>
      <c r="L11" s="321"/>
      <c r="M11" s="321"/>
      <c r="N11" s="340"/>
      <c r="O11" s="321"/>
    </row>
    <row r="12" spans="1:15" s="339" customFormat="1" ht="28.5" x14ac:dyDescent="0.25">
      <c r="A12" s="303">
        <v>1</v>
      </c>
      <c r="B12" s="347" t="s">
        <v>56</v>
      </c>
      <c r="C12" s="346" t="s">
        <v>26</v>
      </c>
      <c r="D12" s="349">
        <f>+ROUND(H12*I12+J12*K12*L12,2)</f>
        <v>117</v>
      </c>
      <c r="E12" s="307">
        <f>APU!F26</f>
        <v>22775</v>
      </c>
      <c r="F12" s="308">
        <f>ROUND(E12*D12,)</f>
        <v>2664675</v>
      </c>
      <c r="G12" s="321"/>
      <c r="H12" s="321">
        <v>3</v>
      </c>
      <c r="I12" s="321">
        <v>4</v>
      </c>
      <c r="J12" s="321">
        <v>30</v>
      </c>
      <c r="K12" s="321">
        <v>35</v>
      </c>
      <c r="L12" s="342">
        <v>0.1</v>
      </c>
      <c r="M12" s="321"/>
      <c r="N12" s="321"/>
      <c r="O12" s="321"/>
    </row>
    <row r="13" spans="1:15" s="339" customFormat="1" ht="28.5" x14ac:dyDescent="0.25">
      <c r="A13" s="303">
        <v>2</v>
      </c>
      <c r="B13" s="347" t="s">
        <v>147</v>
      </c>
      <c r="C13" s="346" t="s">
        <v>26</v>
      </c>
      <c r="D13" s="349">
        <f>+ROUND(H12*I12+J12*K12*L12,2)</f>
        <v>117</v>
      </c>
      <c r="E13" s="307">
        <f>APU!F53</f>
        <v>47165</v>
      </c>
      <c r="F13" s="308">
        <f t="shared" ref="F13:F37" si="0">ROUND(E13*D13,)</f>
        <v>5518305</v>
      </c>
      <c r="G13" s="321"/>
      <c r="H13" s="321"/>
      <c r="I13" s="321"/>
      <c r="J13" s="321"/>
      <c r="K13" s="321"/>
      <c r="L13" s="321"/>
      <c r="M13" s="321"/>
      <c r="N13" s="321"/>
      <c r="O13" s="321"/>
    </row>
    <row r="14" spans="1:15" s="339" customFormat="1" x14ac:dyDescent="0.25">
      <c r="A14" s="303">
        <v>3</v>
      </c>
      <c r="B14" s="347" t="s">
        <v>148</v>
      </c>
      <c r="C14" s="346" t="s">
        <v>40</v>
      </c>
      <c r="D14" s="349">
        <f>+ROUNDUP(H14+I14*J14,0)</f>
        <v>13</v>
      </c>
      <c r="E14" s="307">
        <f>APU!F79</f>
        <v>63241</v>
      </c>
      <c r="F14" s="308">
        <f t="shared" si="0"/>
        <v>822133</v>
      </c>
      <c r="G14" s="321"/>
      <c r="H14" s="321">
        <v>4</v>
      </c>
      <c r="I14" s="321">
        <v>84</v>
      </c>
      <c r="J14" s="342">
        <v>0.1</v>
      </c>
      <c r="K14" s="321"/>
      <c r="L14" s="321"/>
      <c r="M14" s="321"/>
      <c r="N14" s="321"/>
      <c r="O14" s="321"/>
    </row>
    <row r="15" spans="1:15" s="339" customFormat="1" x14ac:dyDescent="0.25">
      <c r="A15" s="303">
        <v>4</v>
      </c>
      <c r="B15" s="347" t="s">
        <v>149</v>
      </c>
      <c r="C15" s="346" t="s">
        <v>26</v>
      </c>
      <c r="D15" s="349">
        <f>+ROUND(H12*I12+J12*K12*L12,2)</f>
        <v>117</v>
      </c>
      <c r="E15" s="307">
        <f>APU!F105</f>
        <v>55259</v>
      </c>
      <c r="F15" s="308">
        <f t="shared" si="0"/>
        <v>6465303</v>
      </c>
      <c r="G15" s="321"/>
      <c r="H15" s="321"/>
      <c r="I15" s="321"/>
      <c r="J15" s="321"/>
      <c r="K15" s="321"/>
      <c r="L15" s="321"/>
      <c r="M15" s="321"/>
      <c r="N15" s="321"/>
      <c r="O15" s="321"/>
    </row>
    <row r="16" spans="1:15" s="339" customFormat="1" x14ac:dyDescent="0.25">
      <c r="A16" s="303">
        <v>6</v>
      </c>
      <c r="B16" s="347" t="s">
        <v>57</v>
      </c>
      <c r="C16" s="346" t="s">
        <v>33</v>
      </c>
      <c r="D16" s="349">
        <f>+ROUND((J12+K12)*H16,2)</f>
        <v>260</v>
      </c>
      <c r="E16" s="307">
        <f>APU!F155</f>
        <v>20436</v>
      </c>
      <c r="F16" s="308">
        <f t="shared" si="0"/>
        <v>5313360</v>
      </c>
      <c r="G16" s="321"/>
      <c r="H16" s="321">
        <v>4</v>
      </c>
      <c r="I16" s="321"/>
      <c r="J16" s="321"/>
      <c r="K16" s="321"/>
      <c r="L16" s="321"/>
      <c r="M16" s="321"/>
      <c r="N16" s="321"/>
      <c r="O16" s="321"/>
    </row>
    <row r="17" spans="1:28" s="339" customFormat="1" ht="28.5" x14ac:dyDescent="0.25">
      <c r="A17" s="303">
        <v>8</v>
      </c>
      <c r="B17" s="347" t="s">
        <v>150</v>
      </c>
      <c r="C17" s="346" t="s">
        <v>26</v>
      </c>
      <c r="D17" s="349">
        <f>+ROUND(J17*K17*L17,2)</f>
        <v>210</v>
      </c>
      <c r="E17" s="307">
        <f>APU!F220</f>
        <v>98520</v>
      </c>
      <c r="F17" s="308">
        <f t="shared" si="0"/>
        <v>20689200</v>
      </c>
      <c r="G17" s="321"/>
      <c r="H17" s="321"/>
      <c r="I17" s="321"/>
      <c r="J17" s="321">
        <v>30</v>
      </c>
      <c r="K17" s="321">
        <v>35</v>
      </c>
      <c r="L17" s="342">
        <v>0.2</v>
      </c>
      <c r="M17" s="321"/>
      <c r="N17" s="321"/>
      <c r="O17" s="321"/>
    </row>
    <row r="18" spans="1:28" s="339" customFormat="1" ht="15" x14ac:dyDescent="0.25">
      <c r="A18" s="303"/>
      <c r="B18" s="304" t="s">
        <v>58</v>
      </c>
      <c r="C18" s="346"/>
      <c r="D18" s="330"/>
      <c r="E18" s="307"/>
      <c r="F18" s="308"/>
      <c r="G18" s="321"/>
      <c r="H18" s="321"/>
      <c r="I18" s="321"/>
      <c r="J18" s="321"/>
      <c r="K18" s="321"/>
      <c r="L18" s="321"/>
      <c r="M18" s="321"/>
      <c r="N18" s="321"/>
      <c r="O18" s="321"/>
    </row>
    <row r="19" spans="1:28" s="339" customFormat="1" x14ac:dyDescent="0.25">
      <c r="A19" s="303">
        <v>3</v>
      </c>
      <c r="B19" s="347" t="s">
        <v>93</v>
      </c>
      <c r="C19" s="346" t="s">
        <v>26</v>
      </c>
      <c r="D19" s="349">
        <f>+ROUND(H19*I19*(H20*2+H21*2)+K19*L19*(K20*2+K21*2)+N19*O19*(N20*2+N21*2)+Q19*R19*(Q20*2+Q21*2),2)</f>
        <v>789.6</v>
      </c>
      <c r="E19" s="307">
        <f>APU!F321</f>
        <v>30259</v>
      </c>
      <c r="F19" s="308">
        <f t="shared" si="0"/>
        <v>23892506</v>
      </c>
      <c r="G19" s="321"/>
      <c r="H19" s="321">
        <v>2.4</v>
      </c>
      <c r="I19" s="321">
        <v>8</v>
      </c>
      <c r="K19" s="321">
        <v>2.4</v>
      </c>
      <c r="L19" s="321">
        <v>1</v>
      </c>
      <c r="N19" s="321">
        <v>2.4</v>
      </c>
      <c r="O19" s="321">
        <v>1</v>
      </c>
      <c r="Q19" s="321">
        <v>2.4</v>
      </c>
      <c r="R19" s="321">
        <v>1</v>
      </c>
      <c r="T19" s="339">
        <v>2.6</v>
      </c>
      <c r="U19" s="339">
        <v>30</v>
      </c>
      <c r="V19" s="339">
        <v>35</v>
      </c>
      <c r="W19" s="339">
        <v>2</v>
      </c>
      <c r="Y19" s="343">
        <v>0.1</v>
      </c>
    </row>
    <row r="20" spans="1:28" s="339" customFormat="1" ht="28.5" x14ac:dyDescent="0.25">
      <c r="A20" s="303">
        <v>4</v>
      </c>
      <c r="B20" s="347" t="s">
        <v>27</v>
      </c>
      <c r="C20" s="346" t="s">
        <v>26</v>
      </c>
      <c r="D20" s="349">
        <f>+ROUND(T19*(U19+V19)*W19,2)</f>
        <v>338</v>
      </c>
      <c r="E20" s="307">
        <f>APU!F350</f>
        <v>34715</v>
      </c>
      <c r="F20" s="308">
        <f t="shared" si="0"/>
        <v>11733670</v>
      </c>
      <c r="G20" s="321"/>
      <c r="H20" s="321">
        <v>5.5</v>
      </c>
      <c r="I20" s="321"/>
      <c r="K20" s="321">
        <v>7</v>
      </c>
      <c r="L20" s="321"/>
      <c r="N20" s="321">
        <v>5</v>
      </c>
      <c r="O20" s="321"/>
      <c r="Q20" s="321">
        <v>8</v>
      </c>
      <c r="R20" s="321"/>
    </row>
    <row r="21" spans="1:28" s="339" customFormat="1" ht="28.5" x14ac:dyDescent="0.25">
      <c r="A21" s="303">
        <v>5</v>
      </c>
      <c r="B21" s="347" t="s">
        <v>124</v>
      </c>
      <c r="C21" s="346" t="s">
        <v>26</v>
      </c>
      <c r="D21" s="349">
        <f>+ROUND((D19+D20)*Y19,2)</f>
        <v>112.76</v>
      </c>
      <c r="E21" s="307">
        <f>APU!F400</f>
        <v>39003</v>
      </c>
      <c r="F21" s="308">
        <f t="shared" si="0"/>
        <v>4397978</v>
      </c>
      <c r="G21" s="321"/>
      <c r="H21" s="321">
        <v>10</v>
      </c>
      <c r="I21" s="321"/>
      <c r="K21" s="321">
        <v>9</v>
      </c>
      <c r="L21" s="321"/>
      <c r="N21" s="321">
        <v>6</v>
      </c>
      <c r="O21" s="321"/>
      <c r="Q21" s="321">
        <v>5.5</v>
      </c>
      <c r="R21" s="321"/>
    </row>
    <row r="22" spans="1:28" s="339" customFormat="1" x14ac:dyDescent="0.25">
      <c r="A22" s="303">
        <v>6</v>
      </c>
      <c r="B22" s="347" t="s">
        <v>59</v>
      </c>
      <c r="C22" s="346" t="s">
        <v>26</v>
      </c>
      <c r="D22" s="349">
        <f>+ROUND(H22*I22*J22,2)</f>
        <v>125.44</v>
      </c>
      <c r="E22" s="307">
        <f>APU!F511</f>
        <v>25117</v>
      </c>
      <c r="F22" s="308">
        <f t="shared" si="0"/>
        <v>3150676</v>
      </c>
      <c r="G22" s="321"/>
      <c r="H22" s="321">
        <f>33-4+11+3.3+16+16+3.1</f>
        <v>78.399999999999991</v>
      </c>
      <c r="I22" s="321">
        <v>0.8</v>
      </c>
      <c r="J22" s="321">
        <v>2</v>
      </c>
      <c r="K22" s="321"/>
      <c r="L22" s="321"/>
      <c r="M22" s="321"/>
      <c r="N22" s="321"/>
      <c r="O22" s="321"/>
    </row>
    <row r="23" spans="1:28" s="339" customFormat="1" ht="28.5" x14ac:dyDescent="0.25">
      <c r="A23" s="303">
        <v>8</v>
      </c>
      <c r="B23" s="347" t="s">
        <v>157</v>
      </c>
      <c r="C23" s="346" t="s">
        <v>26</v>
      </c>
      <c r="D23" s="349">
        <f>+ROUND(H23*I23*J23,2)</f>
        <v>102.48</v>
      </c>
      <c r="E23" s="307">
        <f>APU!F565</f>
        <v>103037</v>
      </c>
      <c r="F23" s="308">
        <f t="shared" si="0"/>
        <v>10559232</v>
      </c>
      <c r="G23" s="321"/>
      <c r="H23" s="321">
        <f>3+3.1</f>
        <v>6.1</v>
      </c>
      <c r="I23" s="321">
        <v>2.4</v>
      </c>
      <c r="J23" s="321">
        <v>7</v>
      </c>
      <c r="K23" s="321"/>
      <c r="L23" s="321"/>
      <c r="M23" s="321"/>
      <c r="N23" s="321"/>
      <c r="O23" s="321"/>
    </row>
    <row r="24" spans="1:28" s="339" customFormat="1" ht="28.5" x14ac:dyDescent="0.25">
      <c r="A24" s="303">
        <v>11</v>
      </c>
      <c r="B24" s="347" t="s">
        <v>151</v>
      </c>
      <c r="C24" s="346" t="s">
        <v>26</v>
      </c>
      <c r="D24" s="349">
        <f>+ROUND(H24*I24*J24+L24*M24*N24,2)</f>
        <v>15.26</v>
      </c>
      <c r="E24" s="307">
        <f>APU!F645</f>
        <v>593344</v>
      </c>
      <c r="F24" s="308">
        <f t="shared" si="0"/>
        <v>9054429</v>
      </c>
      <c r="G24" s="321"/>
      <c r="H24" s="321">
        <v>2</v>
      </c>
      <c r="I24" s="321">
        <v>0.9</v>
      </c>
      <c r="J24" s="321">
        <v>7</v>
      </c>
      <c r="L24" s="321">
        <v>1.9</v>
      </c>
      <c r="M24" s="321">
        <v>0.7</v>
      </c>
      <c r="N24" s="321">
        <v>2</v>
      </c>
      <c r="O24" s="321"/>
      <c r="P24" s="321"/>
      <c r="Q24" s="321"/>
      <c r="R24" s="321"/>
      <c r="S24" s="321"/>
    </row>
    <row r="25" spans="1:28" s="339" customFormat="1" ht="28.5" x14ac:dyDescent="0.25">
      <c r="A25" s="303">
        <v>12</v>
      </c>
      <c r="B25" s="347" t="s">
        <v>141</v>
      </c>
      <c r="C25" s="346" t="s">
        <v>26</v>
      </c>
      <c r="D25" s="349">
        <f>+ROUND(2*(H25*I25+K25*L25+N25*O25*P25+S25*T25+V25*W25*X25+Z25*AA25*AB25),2)</f>
        <v>164.72</v>
      </c>
      <c r="E25" s="307">
        <f>APU!F672</f>
        <v>86770</v>
      </c>
      <c r="F25" s="308">
        <f t="shared" si="0"/>
        <v>14292754</v>
      </c>
      <c r="G25" s="321"/>
      <c r="H25" s="321">
        <v>2</v>
      </c>
      <c r="I25" s="321">
        <v>0.7</v>
      </c>
      <c r="J25" s="321"/>
      <c r="K25" s="321">
        <v>1</v>
      </c>
      <c r="L25" s="321">
        <v>2</v>
      </c>
      <c r="M25" s="321"/>
      <c r="N25" s="321">
        <v>2.2400000000000002</v>
      </c>
      <c r="O25" s="321">
        <v>0.9</v>
      </c>
      <c r="P25" s="339">
        <v>20</v>
      </c>
      <c r="S25" s="339">
        <v>1.4</v>
      </c>
      <c r="T25" s="339">
        <v>0.95</v>
      </c>
      <c r="V25" s="339">
        <v>1.3</v>
      </c>
      <c r="W25" s="339">
        <v>1.3</v>
      </c>
      <c r="X25" s="339">
        <v>6</v>
      </c>
      <c r="Z25" s="339">
        <v>1.3</v>
      </c>
      <c r="AA25" s="339">
        <v>1.9</v>
      </c>
      <c r="AB25" s="339">
        <v>11</v>
      </c>
    </row>
    <row r="26" spans="1:28" s="339" customFormat="1" ht="28.5" x14ac:dyDescent="0.25">
      <c r="A26" s="303">
        <v>14</v>
      </c>
      <c r="B26" s="347" t="s">
        <v>152</v>
      </c>
      <c r="C26" s="346" t="s">
        <v>26</v>
      </c>
      <c r="D26" s="349">
        <f>+ROUND((S25*T25+V25*W25*X25+Z25*AA25*AB25)*H26,2)</f>
        <v>13.52</v>
      </c>
      <c r="E26" s="307">
        <f>APU!F749</f>
        <v>67130</v>
      </c>
      <c r="F26" s="308">
        <f t="shared" si="0"/>
        <v>907598</v>
      </c>
      <c r="G26" s="321"/>
      <c r="H26" s="342">
        <v>0.35</v>
      </c>
      <c r="I26" s="321"/>
      <c r="J26" s="321"/>
      <c r="K26" s="321"/>
      <c r="L26" s="321"/>
      <c r="M26" s="321"/>
      <c r="N26" s="321"/>
      <c r="O26" s="321"/>
    </row>
    <row r="27" spans="1:28" s="339" customFormat="1" x14ac:dyDescent="0.25">
      <c r="A27" s="303">
        <v>18</v>
      </c>
      <c r="B27" s="347" t="s">
        <v>137</v>
      </c>
      <c r="C27" s="346" t="s">
        <v>62</v>
      </c>
      <c r="D27" s="349">
        <f>+ROUND(H27*I27*J27,2)</f>
        <v>62</v>
      </c>
      <c r="E27" s="307">
        <f>+APU!F848</f>
        <v>105943</v>
      </c>
      <c r="F27" s="308">
        <f t="shared" si="0"/>
        <v>6568466</v>
      </c>
      <c r="G27" s="321"/>
      <c r="H27" s="321">
        <v>10</v>
      </c>
      <c r="I27" s="321">
        <v>31</v>
      </c>
      <c r="J27" s="321">
        <v>0.2</v>
      </c>
      <c r="K27" s="321"/>
      <c r="L27" s="321"/>
      <c r="M27" s="321"/>
      <c r="N27" s="321"/>
      <c r="O27" s="321"/>
    </row>
    <row r="28" spans="1:28" s="339" customFormat="1" x14ac:dyDescent="0.25">
      <c r="A28" s="303">
        <v>19</v>
      </c>
      <c r="B28" s="347" t="s">
        <v>138</v>
      </c>
      <c r="C28" s="346" t="s">
        <v>62</v>
      </c>
      <c r="D28" s="349">
        <f>+ROUND(H27*I27*J27,2)</f>
        <v>62</v>
      </c>
      <c r="E28" s="307">
        <f>+APU!F421</f>
        <v>1047812</v>
      </c>
      <c r="F28" s="308">
        <f t="shared" si="0"/>
        <v>64964344</v>
      </c>
      <c r="G28" s="321"/>
      <c r="H28" s="321"/>
      <c r="I28" s="321"/>
      <c r="J28" s="321"/>
      <c r="K28" s="321"/>
      <c r="L28" s="321"/>
      <c r="M28" s="321"/>
      <c r="N28" s="321"/>
      <c r="O28" s="321"/>
    </row>
    <row r="29" spans="1:28" s="339" customFormat="1" ht="28.5" x14ac:dyDescent="0.25">
      <c r="A29" s="303">
        <v>20</v>
      </c>
      <c r="B29" s="347" t="s">
        <v>139</v>
      </c>
      <c r="C29" s="346" t="s">
        <v>0</v>
      </c>
      <c r="D29" s="349">
        <v>3</v>
      </c>
      <c r="E29" s="307">
        <f>+APU!F442</f>
        <v>888639</v>
      </c>
      <c r="F29" s="308">
        <f t="shared" si="0"/>
        <v>2665917</v>
      </c>
      <c r="G29" s="321"/>
      <c r="H29" s="321"/>
      <c r="I29" s="321"/>
      <c r="J29" s="321"/>
      <c r="K29" s="321"/>
      <c r="L29" s="321"/>
      <c r="M29" s="321"/>
      <c r="N29" s="321"/>
      <c r="O29" s="321"/>
    </row>
    <row r="30" spans="1:28" s="339" customFormat="1" ht="28.5" x14ac:dyDescent="0.25">
      <c r="A30" s="303">
        <v>21</v>
      </c>
      <c r="B30" s="347" t="s">
        <v>142</v>
      </c>
      <c r="C30" s="346" t="s">
        <v>26</v>
      </c>
      <c r="D30" s="349">
        <f>+ROUND(H30*I30*J30,2)</f>
        <v>155.06</v>
      </c>
      <c r="E30" s="307">
        <f>+APU!F699</f>
        <v>42608</v>
      </c>
      <c r="F30" s="308">
        <f t="shared" si="0"/>
        <v>6606796</v>
      </c>
      <c r="G30" s="321"/>
      <c r="H30" s="321">
        <f>33+11+3.3+16+2.8+16+3.1</f>
        <v>85.199999999999989</v>
      </c>
      <c r="I30" s="321">
        <v>1.82</v>
      </c>
      <c r="J30" s="321">
        <v>1</v>
      </c>
      <c r="K30" s="321"/>
      <c r="L30" s="321"/>
      <c r="M30" s="321"/>
      <c r="N30" s="321"/>
      <c r="O30" s="321"/>
    </row>
    <row r="31" spans="1:28" s="339" customFormat="1" ht="15" x14ac:dyDescent="0.25">
      <c r="A31" s="303"/>
      <c r="B31" s="304" t="s">
        <v>158</v>
      </c>
      <c r="C31" s="346"/>
      <c r="D31" s="330"/>
      <c r="E31" s="307"/>
      <c r="F31" s="308"/>
      <c r="G31" s="321"/>
      <c r="H31" s="321"/>
      <c r="I31" s="321"/>
      <c r="J31" s="321"/>
      <c r="K31" s="321"/>
      <c r="L31" s="321"/>
      <c r="M31" s="321"/>
      <c r="N31" s="321"/>
      <c r="O31" s="321"/>
    </row>
    <row r="32" spans="1:28" s="339" customFormat="1" ht="28.5" x14ac:dyDescent="0.25">
      <c r="A32" s="303">
        <v>1</v>
      </c>
      <c r="B32" s="347" t="s">
        <v>153</v>
      </c>
      <c r="C32" s="346" t="s">
        <v>40</v>
      </c>
      <c r="D32" s="349">
        <f>+ROUND(H32,2)</f>
        <v>2</v>
      </c>
      <c r="E32" s="307">
        <f>APU!F873</f>
        <v>697523</v>
      </c>
      <c r="F32" s="308">
        <f t="shared" si="0"/>
        <v>1395046</v>
      </c>
      <c r="G32" s="321"/>
      <c r="H32" s="321">
        <v>2</v>
      </c>
      <c r="I32" s="321"/>
      <c r="J32" s="321"/>
      <c r="K32" s="321"/>
      <c r="L32" s="321"/>
      <c r="M32" s="321"/>
      <c r="N32" s="321"/>
      <c r="O32" s="321"/>
      <c r="S32" s="321"/>
      <c r="V32" s="321"/>
      <c r="Z32" s="321"/>
    </row>
    <row r="33" spans="1:15" s="339" customFormat="1" ht="28.5" x14ac:dyDescent="0.25">
      <c r="A33" s="303">
        <v>2</v>
      </c>
      <c r="B33" s="347" t="s">
        <v>154</v>
      </c>
      <c r="C33" s="346" t="s">
        <v>40</v>
      </c>
      <c r="D33" s="349">
        <f>+ROUND(H33,2)</f>
        <v>2</v>
      </c>
      <c r="E33" s="307">
        <f>APU!F899</f>
        <v>461600</v>
      </c>
      <c r="F33" s="308">
        <f t="shared" si="0"/>
        <v>923200</v>
      </c>
      <c r="G33" s="321"/>
      <c r="H33" s="321">
        <v>2</v>
      </c>
      <c r="I33" s="321"/>
      <c r="J33" s="321"/>
      <c r="K33" s="321"/>
      <c r="L33" s="321"/>
      <c r="M33" s="321"/>
      <c r="N33" s="321"/>
      <c r="O33" s="321"/>
    </row>
    <row r="34" spans="1:15" s="339" customFormat="1" ht="28.5" x14ac:dyDescent="0.25">
      <c r="A34" s="303">
        <v>4</v>
      </c>
      <c r="B34" s="347" t="s">
        <v>61</v>
      </c>
      <c r="C34" s="346" t="s">
        <v>62</v>
      </c>
      <c r="D34" s="349">
        <f>+ROUND(H34*I34*J34,2)</f>
        <v>2.25</v>
      </c>
      <c r="E34" s="307">
        <f>APU!F950</f>
        <v>36676</v>
      </c>
      <c r="F34" s="308">
        <f t="shared" si="0"/>
        <v>82521</v>
      </c>
      <c r="G34" s="321"/>
      <c r="H34" s="321">
        <v>1.5</v>
      </c>
      <c r="I34" s="321">
        <v>1.5</v>
      </c>
      <c r="J34" s="321">
        <v>1</v>
      </c>
      <c r="K34" s="321"/>
      <c r="L34" s="321"/>
      <c r="M34" s="321"/>
      <c r="N34" s="321"/>
      <c r="O34" s="321"/>
    </row>
    <row r="35" spans="1:15" s="339" customFormat="1" x14ac:dyDescent="0.25">
      <c r="A35" s="303">
        <v>8</v>
      </c>
      <c r="B35" s="347" t="s">
        <v>140</v>
      </c>
      <c r="C35" s="346" t="s">
        <v>33</v>
      </c>
      <c r="D35" s="349">
        <f>ROUND(D29*H35,2)</f>
        <v>18</v>
      </c>
      <c r="E35" s="307">
        <f>+APU!F464</f>
        <v>70927</v>
      </c>
      <c r="F35" s="308">
        <f t="shared" si="0"/>
        <v>1276686</v>
      </c>
      <c r="G35" s="321"/>
      <c r="H35" s="321">
        <v>6</v>
      </c>
      <c r="I35" s="321"/>
      <c r="J35" s="321"/>
      <c r="K35" s="321"/>
      <c r="L35" s="321"/>
      <c r="M35" s="321"/>
      <c r="N35" s="321"/>
      <c r="O35" s="321"/>
    </row>
    <row r="36" spans="1:15" s="339" customFormat="1" ht="15" x14ac:dyDescent="0.25">
      <c r="A36" s="303"/>
      <c r="B36" s="304" t="s">
        <v>144</v>
      </c>
      <c r="C36" s="346"/>
      <c r="D36" s="330"/>
      <c r="E36" s="307"/>
      <c r="F36" s="308"/>
      <c r="G36" s="321"/>
      <c r="H36" s="321"/>
      <c r="I36" s="321"/>
      <c r="J36" s="321"/>
      <c r="K36" s="321"/>
      <c r="L36" s="321"/>
      <c r="M36" s="321"/>
      <c r="N36" s="321"/>
      <c r="O36" s="321"/>
    </row>
    <row r="37" spans="1:15" s="339" customFormat="1" ht="29.25" thickBot="1" x14ac:dyDescent="0.3">
      <c r="A37" s="303">
        <v>4</v>
      </c>
      <c r="B37" s="347" t="s">
        <v>155</v>
      </c>
      <c r="C37" s="346" t="s">
        <v>40</v>
      </c>
      <c r="D37" s="349">
        <f>+ROUND(H37,2)</f>
        <v>60</v>
      </c>
      <c r="E37" s="307">
        <f>+APU!F1121</f>
        <v>55517</v>
      </c>
      <c r="F37" s="308">
        <f t="shared" si="0"/>
        <v>3331020</v>
      </c>
      <c r="G37" s="321"/>
      <c r="H37" s="321">
        <v>60</v>
      </c>
      <c r="I37" s="321"/>
      <c r="J37" s="321"/>
      <c r="K37" s="321"/>
      <c r="L37" s="321"/>
      <c r="M37" s="321"/>
      <c r="N37" s="321"/>
      <c r="O37" s="321"/>
    </row>
    <row r="38" spans="1:15" ht="15" x14ac:dyDescent="0.25">
      <c r="A38" s="408" t="s">
        <v>13</v>
      </c>
      <c r="B38" s="409"/>
      <c r="C38" s="409"/>
      <c r="D38" s="409"/>
      <c r="E38" s="409"/>
      <c r="F38" s="315">
        <f>+SUM(F12:F37)</f>
        <v>207275815</v>
      </c>
    </row>
    <row r="39" spans="1:15" ht="15" x14ac:dyDescent="0.25">
      <c r="A39" s="392" t="s">
        <v>1</v>
      </c>
      <c r="B39" s="393"/>
      <c r="C39" s="393"/>
      <c r="D39" s="393"/>
      <c r="E39" s="316">
        <v>0.2</v>
      </c>
      <c r="F39" s="317">
        <f>ROUND(F38*E39,0)</f>
        <v>41455163</v>
      </c>
    </row>
    <row r="40" spans="1:15" ht="15" x14ac:dyDescent="0.25">
      <c r="A40" s="392" t="s">
        <v>2</v>
      </c>
      <c r="B40" s="393"/>
      <c r="C40" s="393"/>
      <c r="D40" s="393"/>
      <c r="E40" s="316">
        <v>0.03</v>
      </c>
      <c r="F40" s="317">
        <f>ROUND(F38*E40,0)</f>
        <v>6218274</v>
      </c>
    </row>
    <row r="41" spans="1:15" ht="15" x14ac:dyDescent="0.25">
      <c r="A41" s="392" t="s">
        <v>3</v>
      </c>
      <c r="B41" s="393"/>
      <c r="C41" s="393"/>
      <c r="D41" s="393"/>
      <c r="E41" s="316">
        <v>0.05</v>
      </c>
      <c r="F41" s="317">
        <f>ROUND(F38*E41,0)</f>
        <v>10363791</v>
      </c>
    </row>
    <row r="42" spans="1:15" ht="15.75" thickBot="1" x14ac:dyDescent="0.3">
      <c r="A42" s="394" t="s">
        <v>4</v>
      </c>
      <c r="B42" s="395"/>
      <c r="C42" s="395"/>
      <c r="D42" s="395"/>
      <c r="E42" s="318">
        <v>0.19</v>
      </c>
      <c r="F42" s="319">
        <f>ROUND(F41*E42,0)</f>
        <v>1969120</v>
      </c>
    </row>
    <row r="43" spans="1:15" ht="15.75" thickBot="1" x14ac:dyDescent="0.3">
      <c r="A43" s="361" t="s">
        <v>14</v>
      </c>
      <c r="B43" s="362"/>
      <c r="C43" s="362"/>
      <c r="D43" s="362"/>
      <c r="E43" s="363"/>
      <c r="F43" s="320">
        <f>SUM(F38:F42)</f>
        <v>267282163</v>
      </c>
    </row>
    <row r="44" spans="1:15" x14ac:dyDescent="0.2">
      <c r="A44" s="364" t="s">
        <v>156</v>
      </c>
      <c r="B44" s="365"/>
      <c r="C44" s="365"/>
      <c r="D44" s="365"/>
      <c r="E44" s="365"/>
      <c r="F44" s="366"/>
      <c r="G44" s="341"/>
    </row>
    <row r="45" spans="1:15" x14ac:dyDescent="0.25">
      <c r="A45" s="367"/>
      <c r="B45" s="368"/>
      <c r="C45" s="368"/>
      <c r="D45" s="368"/>
      <c r="E45" s="368"/>
      <c r="F45" s="369"/>
    </row>
    <row r="46" spans="1:15" ht="15" thickBot="1" x14ac:dyDescent="0.3">
      <c r="A46" s="370"/>
      <c r="B46" s="371"/>
      <c r="C46" s="371"/>
      <c r="D46" s="371"/>
      <c r="E46" s="371"/>
      <c r="F46" s="372"/>
    </row>
  </sheetData>
  <mergeCells count="10">
    <mergeCell ref="A41:D41"/>
    <mergeCell ref="A42:D42"/>
    <mergeCell ref="A43:E43"/>
    <mergeCell ref="A44:F46"/>
    <mergeCell ref="A1:F2"/>
    <mergeCell ref="A3:F4"/>
    <mergeCell ref="A5:F7"/>
    <mergeCell ref="A38:E38"/>
    <mergeCell ref="A39:D39"/>
    <mergeCell ref="A40:D40"/>
  </mergeCells>
  <pageMargins left="0.70866141732283472" right="0.70866141732283472" top="0.74803149606299213" bottom="0.74803149606299213" header="0.31496062992125984" footer="0.31496062992125984"/>
  <pageSetup scale="68" fitToHeight="0" orientation="portrait" horizont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1F0CD-BECB-4C6D-A7D9-4F161D8A2FAA}">
  <sheetPr>
    <tabColor rgb="FF99FF99"/>
    <pageSetUpPr fitToPage="1"/>
  </sheetPr>
  <dimension ref="A1:AY38"/>
  <sheetViews>
    <sheetView view="pageBreakPreview" topLeftCell="A28" zoomScale="89" zoomScaleNormal="89" zoomScaleSheetLayoutView="89" workbookViewId="0">
      <selection activeCell="G7" sqref="G1:XFD1048576"/>
    </sheetView>
  </sheetViews>
  <sheetFormatPr baseColWidth="10" defaultColWidth="0" defaultRowHeight="14.25" x14ac:dyDescent="0.25"/>
  <cols>
    <col min="1" max="1" width="6.28515625" style="345" bestFit="1" customWidth="1"/>
    <col min="2" max="2" width="79.42578125" style="345" bestFit="1" customWidth="1"/>
    <col min="3" max="3" width="5.7109375" style="345" bestFit="1" customWidth="1"/>
    <col min="4" max="4" width="10.42578125" style="325" bestFit="1" customWidth="1"/>
    <col min="5" max="5" width="13.85546875" style="323" bestFit="1" customWidth="1"/>
    <col min="6" max="6" width="17.85546875" style="344" bestFit="1" customWidth="1"/>
    <col min="7" max="13" width="7.5703125" style="321" hidden="1" customWidth="1"/>
    <col min="14" max="14" width="6.42578125" style="321" hidden="1" customWidth="1"/>
    <col min="15" max="15" width="7.5703125" style="321" hidden="1" customWidth="1"/>
    <col min="16" max="16" width="6.42578125" style="321" hidden="1" customWidth="1"/>
    <col min="17" max="18" width="7.5703125" style="321" hidden="1" customWidth="1"/>
    <col min="19" max="30" width="6.42578125" style="321" hidden="1" customWidth="1"/>
    <col min="31" max="31" width="7.5703125" style="321" hidden="1" customWidth="1"/>
    <col min="32" max="34" width="6.42578125" style="321" hidden="1" customWidth="1"/>
    <col min="35" max="35" width="7.5703125" style="321" hidden="1" customWidth="1"/>
    <col min="36" max="38" width="6.42578125" style="321" hidden="1" customWidth="1"/>
    <col min="39" max="40" width="7.5703125" style="321" hidden="1" customWidth="1"/>
    <col min="41" max="41" width="5" style="321" hidden="1" customWidth="1"/>
    <col min="42" max="45" width="6.42578125" style="321" hidden="1" customWidth="1"/>
    <col min="46" max="46" width="7.5703125" style="321" hidden="1" customWidth="1"/>
    <col min="47" max="47" width="6.42578125" style="321" hidden="1" customWidth="1"/>
    <col min="48" max="48" width="4.140625" style="321" hidden="1" customWidth="1"/>
    <col min="49" max="49" width="7.5703125" style="321" hidden="1" customWidth="1"/>
    <col min="50" max="51" width="6.42578125" style="321" hidden="1" customWidth="1"/>
    <col min="52" max="16384" width="11.42578125" style="321" hidden="1"/>
  </cols>
  <sheetData>
    <row r="1" spans="1:20" x14ac:dyDescent="0.25">
      <c r="A1" s="396" t="s">
        <v>146</v>
      </c>
      <c r="B1" s="397"/>
      <c r="C1" s="397"/>
      <c r="D1" s="397"/>
      <c r="E1" s="397"/>
      <c r="F1" s="398"/>
    </row>
    <row r="2" spans="1:20" x14ac:dyDescent="0.25">
      <c r="A2" s="399"/>
      <c r="B2" s="400"/>
      <c r="C2" s="400"/>
      <c r="D2" s="400"/>
      <c r="E2" s="400"/>
      <c r="F2" s="401"/>
    </row>
    <row r="3" spans="1:20" x14ac:dyDescent="0.25">
      <c r="A3" s="402" t="s">
        <v>5</v>
      </c>
      <c r="B3" s="403"/>
      <c r="C3" s="403"/>
      <c r="D3" s="403"/>
      <c r="E3" s="403"/>
      <c r="F3" s="404"/>
    </row>
    <row r="4" spans="1:20" x14ac:dyDescent="0.25">
      <c r="A4" s="402"/>
      <c r="B4" s="403"/>
      <c r="C4" s="403"/>
      <c r="D4" s="403"/>
      <c r="E4" s="403"/>
      <c r="F4" s="404"/>
    </row>
    <row r="5" spans="1:20" x14ac:dyDescent="0.25">
      <c r="A5" s="405" t="s">
        <v>145</v>
      </c>
      <c r="B5" s="406"/>
      <c r="C5" s="406"/>
      <c r="D5" s="406"/>
      <c r="E5" s="406"/>
      <c r="F5" s="407"/>
    </row>
    <row r="6" spans="1:20" x14ac:dyDescent="0.25">
      <c r="A6" s="405"/>
      <c r="B6" s="406"/>
      <c r="C6" s="406"/>
      <c r="D6" s="406"/>
      <c r="E6" s="406"/>
      <c r="F6" s="407"/>
    </row>
    <row r="7" spans="1:20" ht="15" thickBot="1" x14ac:dyDescent="0.3">
      <c r="A7" s="405"/>
      <c r="B7" s="406"/>
      <c r="C7" s="406"/>
      <c r="D7" s="406"/>
      <c r="E7" s="406"/>
      <c r="F7" s="407"/>
    </row>
    <row r="8" spans="1:20" ht="15.75" thickBot="1" x14ac:dyDescent="0.3">
      <c r="A8" s="286" t="s">
        <v>9</v>
      </c>
      <c r="B8" s="287" t="s">
        <v>10</v>
      </c>
      <c r="C8" s="287" t="s">
        <v>0</v>
      </c>
      <c r="D8" s="288" t="s">
        <v>6</v>
      </c>
      <c r="E8" s="289" t="s">
        <v>7</v>
      </c>
      <c r="F8" s="290" t="s">
        <v>8</v>
      </c>
    </row>
    <row r="9" spans="1:20" ht="15" x14ac:dyDescent="0.25">
      <c r="A9" s="291" t="s">
        <v>12</v>
      </c>
      <c r="B9" s="292" t="s">
        <v>11</v>
      </c>
      <c r="C9" s="293"/>
      <c r="D9" s="294"/>
      <c r="E9" s="295"/>
      <c r="F9" s="296"/>
    </row>
    <row r="10" spans="1:20" s="339" customFormat="1" ht="15" x14ac:dyDescent="0.25">
      <c r="A10" s="297" t="s">
        <v>133</v>
      </c>
      <c r="B10" s="298" t="s">
        <v>239</v>
      </c>
      <c r="C10" s="299"/>
      <c r="D10" s="300"/>
      <c r="E10" s="301"/>
      <c r="F10" s="302"/>
      <c r="G10" s="321"/>
      <c r="H10" s="321"/>
      <c r="I10" s="321"/>
      <c r="J10" s="321"/>
      <c r="K10" s="321"/>
      <c r="L10" s="321"/>
      <c r="M10" s="321"/>
      <c r="N10" s="338"/>
      <c r="O10" s="321"/>
    </row>
    <row r="11" spans="1:20" s="339" customFormat="1" ht="15" x14ac:dyDescent="0.25">
      <c r="A11" s="303"/>
      <c r="B11" s="304" t="s">
        <v>55</v>
      </c>
      <c r="C11" s="305"/>
      <c r="D11" s="306"/>
      <c r="E11" s="307"/>
      <c r="F11" s="308"/>
      <c r="G11" s="321"/>
      <c r="H11" s="321"/>
      <c r="I11" s="321"/>
      <c r="J11" s="321"/>
      <c r="K11" s="321"/>
      <c r="L11" s="321"/>
      <c r="M11" s="321"/>
      <c r="N11" s="340"/>
      <c r="O11" s="321"/>
    </row>
    <row r="12" spans="1:20" s="339" customFormat="1" ht="28.5" x14ac:dyDescent="0.25">
      <c r="A12" s="303">
        <v>1</v>
      </c>
      <c r="B12" s="347" t="s">
        <v>56</v>
      </c>
      <c r="C12" s="346" t="s">
        <v>26</v>
      </c>
      <c r="D12" s="349">
        <f>+ROUND(T12*(H12*I12+K12*L12+N12*O12+Q12*R12),2)</f>
        <v>87.1</v>
      </c>
      <c r="E12" s="307">
        <f>APU!F26</f>
        <v>22775</v>
      </c>
      <c r="F12" s="308">
        <f>ROUND(E12*D12,)</f>
        <v>1983703</v>
      </c>
      <c r="G12" s="321"/>
      <c r="H12" s="321">
        <v>18</v>
      </c>
      <c r="I12" s="321">
        <v>14</v>
      </c>
      <c r="J12" s="321"/>
      <c r="K12" s="321">
        <f>3+9+3</f>
        <v>15</v>
      </c>
      <c r="L12" s="321">
        <v>15</v>
      </c>
      <c r="M12" s="321"/>
      <c r="N12" s="321">
        <v>6</v>
      </c>
      <c r="O12" s="321">
        <f>6+34</f>
        <v>40</v>
      </c>
      <c r="Q12" s="339">
        <v>11</v>
      </c>
      <c r="R12" s="339">
        <v>14</v>
      </c>
      <c r="T12" s="343">
        <v>0.1</v>
      </c>
    </row>
    <row r="13" spans="1:20" s="339" customFormat="1" ht="28.5" x14ac:dyDescent="0.25">
      <c r="A13" s="303">
        <v>2</v>
      </c>
      <c r="B13" s="347" t="s">
        <v>147</v>
      </c>
      <c r="C13" s="346" t="s">
        <v>26</v>
      </c>
      <c r="D13" s="349">
        <f>+ROUND(T12*(H12*I12+K12*L12+N12*O12+Q12*R12),2)</f>
        <v>87.1</v>
      </c>
      <c r="E13" s="307">
        <f>APU!F53</f>
        <v>47165</v>
      </c>
      <c r="F13" s="308">
        <f>ROUND(E13*D13,)</f>
        <v>4108072</v>
      </c>
      <c r="G13" s="321"/>
      <c r="H13" s="321"/>
      <c r="I13" s="321"/>
      <c r="J13" s="321"/>
      <c r="K13" s="321"/>
      <c r="L13" s="321"/>
      <c r="M13" s="321"/>
      <c r="N13" s="321"/>
      <c r="O13" s="321"/>
      <c r="Q13" s="321"/>
    </row>
    <row r="14" spans="1:20" s="339" customFormat="1" x14ac:dyDescent="0.25">
      <c r="A14" s="303">
        <v>6</v>
      </c>
      <c r="B14" s="347" t="s">
        <v>57</v>
      </c>
      <c r="C14" s="346" t="s">
        <v>33</v>
      </c>
      <c r="D14" s="349">
        <f>+H12+K12+O12+R12+I12+L12+N12+Q12</f>
        <v>133</v>
      </c>
      <c r="E14" s="307">
        <f>APU!F155</f>
        <v>20436</v>
      </c>
      <c r="F14" s="308">
        <f>ROUND(E14*D14,)</f>
        <v>2717988</v>
      </c>
      <c r="G14" s="321"/>
      <c r="H14" s="321"/>
      <c r="I14" s="321"/>
      <c r="J14" s="321"/>
      <c r="K14" s="321"/>
      <c r="L14" s="321"/>
      <c r="M14" s="321"/>
      <c r="N14" s="321"/>
      <c r="O14" s="321"/>
    </row>
    <row r="15" spans="1:20" s="339" customFormat="1" ht="28.5" x14ac:dyDescent="0.25">
      <c r="A15" s="303">
        <v>8</v>
      </c>
      <c r="B15" s="347" t="s">
        <v>150</v>
      </c>
      <c r="C15" s="346" t="s">
        <v>26</v>
      </c>
      <c r="D15" s="349">
        <f>+ROUND(H15*I15+K15*L15+N15*O15*P15+R15*(H12*I12+K12*L12+N12*O12+Q12*R12),2)</f>
        <v>480.4</v>
      </c>
      <c r="E15" s="307">
        <f>APU!F220</f>
        <v>98520</v>
      </c>
      <c r="F15" s="308">
        <f>ROUND(E15*D15,)</f>
        <v>47329008</v>
      </c>
      <c r="G15" s="321"/>
      <c r="H15" s="321">
        <v>4.2</v>
      </c>
      <c r="I15" s="321">
        <v>4.9000000000000004</v>
      </c>
      <c r="J15" s="321"/>
      <c r="K15" s="321">
        <v>3.6</v>
      </c>
      <c r="L15" s="321">
        <v>4</v>
      </c>
      <c r="M15" s="321"/>
      <c r="N15" s="321">
        <v>7.7</v>
      </c>
      <c r="O15" s="321">
        <v>4.2</v>
      </c>
      <c r="P15" s="339">
        <v>3</v>
      </c>
      <c r="R15" s="343">
        <v>0.4</v>
      </c>
    </row>
    <row r="16" spans="1:20" s="339" customFormat="1" ht="15" x14ac:dyDescent="0.25">
      <c r="A16" s="303"/>
      <c r="B16" s="304" t="s">
        <v>58</v>
      </c>
      <c r="C16" s="346"/>
      <c r="D16" s="330"/>
      <c r="E16" s="307"/>
      <c r="F16" s="308"/>
      <c r="G16" s="321"/>
      <c r="H16" s="321"/>
      <c r="I16" s="321"/>
      <c r="J16" s="321"/>
      <c r="K16" s="321"/>
      <c r="L16" s="321"/>
      <c r="M16" s="321"/>
      <c r="N16" s="321"/>
      <c r="O16" s="321"/>
    </row>
    <row r="17" spans="1:51" s="339" customFormat="1" x14ac:dyDescent="0.25">
      <c r="A17" s="303">
        <v>3</v>
      </c>
      <c r="B17" s="347" t="s">
        <v>93</v>
      </c>
      <c r="C17" s="346" t="s">
        <v>26</v>
      </c>
      <c r="D17" s="349">
        <f>+ROUND(H17*2*SUM(I17:M18)+O17*P17*2*SUM(Q17:Q18)+S17*2*SUM(T17:Z18)+AB17*AC17*2*SUM(AD17:AD18)+AF17*2*SUM(AG17:AN18)+AP17*2*SUM(AQ17:AU18),2)</f>
        <v>1903.36</v>
      </c>
      <c r="E17" s="307">
        <f>APU!F321</f>
        <v>30259</v>
      </c>
      <c r="F17" s="308">
        <f t="shared" ref="F17:F24" si="0">ROUND(E17*D17,)</f>
        <v>57593770</v>
      </c>
      <c r="G17" s="321"/>
      <c r="H17" s="321">
        <v>2.4</v>
      </c>
      <c r="I17" s="321">
        <v>4.2</v>
      </c>
      <c r="J17" s="321">
        <v>3.6</v>
      </c>
      <c r="K17" s="321">
        <v>5.3</v>
      </c>
      <c r="L17" s="321">
        <v>6.2</v>
      </c>
      <c r="M17" s="321">
        <v>5.4</v>
      </c>
      <c r="N17" s="321"/>
      <c r="O17" s="321">
        <v>2.6</v>
      </c>
      <c r="P17" s="339">
        <v>3</v>
      </c>
      <c r="Q17" s="339">
        <v>7.7</v>
      </c>
      <c r="S17" s="339">
        <v>3</v>
      </c>
      <c r="T17" s="339">
        <v>3.5</v>
      </c>
      <c r="U17" s="339">
        <v>7.8</v>
      </c>
      <c r="V17" s="339">
        <v>3</v>
      </c>
      <c r="W17" s="339">
        <v>8</v>
      </c>
      <c r="X17" s="339">
        <v>4.7</v>
      </c>
      <c r="Y17" s="339">
        <v>7.4</v>
      </c>
      <c r="Z17" s="339">
        <v>4.2</v>
      </c>
      <c r="AB17" s="339">
        <v>2.4</v>
      </c>
      <c r="AC17" s="339">
        <v>3</v>
      </c>
      <c r="AD17" s="339">
        <v>7.7</v>
      </c>
      <c r="AF17" s="339">
        <v>2.7</v>
      </c>
      <c r="AG17" s="339">
        <v>4.3</v>
      </c>
      <c r="AH17" s="339">
        <v>5.5</v>
      </c>
      <c r="AI17" s="339">
        <v>5.5</v>
      </c>
      <c r="AJ17" s="339">
        <v>4.8</v>
      </c>
      <c r="AK17" s="339">
        <v>4.8</v>
      </c>
      <c r="AL17" s="339">
        <v>5.5</v>
      </c>
      <c r="AM17" s="339">
        <f>9.9+5.7</f>
        <v>15.600000000000001</v>
      </c>
      <c r="AN17" s="339">
        <f>5.6+10</f>
        <v>15.6</v>
      </c>
      <c r="AP17" s="339">
        <v>3.4</v>
      </c>
      <c r="AQ17" s="339">
        <v>9.1999999999999993</v>
      </c>
      <c r="AR17" s="339">
        <v>6.4</v>
      </c>
      <c r="AS17" s="339">
        <v>4.7</v>
      </c>
      <c r="AT17" s="339">
        <f>3.7+3+4.8</f>
        <v>11.5</v>
      </c>
      <c r="AU17" s="339">
        <v>9.1999999999999993</v>
      </c>
      <c r="AW17" s="339">
        <v>24</v>
      </c>
      <c r="AX17" s="339">
        <v>7.5</v>
      </c>
      <c r="AY17" s="339">
        <v>6</v>
      </c>
    </row>
    <row r="18" spans="1:51" s="339" customFormat="1" ht="28.5" x14ac:dyDescent="0.25">
      <c r="A18" s="303">
        <v>4</v>
      </c>
      <c r="B18" s="347" t="s">
        <v>27</v>
      </c>
      <c r="C18" s="346" t="s">
        <v>26</v>
      </c>
      <c r="D18" s="349">
        <f>+ROUND(AW17*AX17*AY17,2)</f>
        <v>1080</v>
      </c>
      <c r="E18" s="307">
        <f>APU!F350</f>
        <v>34715</v>
      </c>
      <c r="F18" s="308">
        <f t="shared" si="0"/>
        <v>37492200</v>
      </c>
      <c r="G18" s="321"/>
      <c r="H18" s="321"/>
      <c r="I18" s="321">
        <v>4.9000000000000004</v>
      </c>
      <c r="J18" s="321">
        <v>4</v>
      </c>
      <c r="K18" s="321">
        <v>4</v>
      </c>
      <c r="L18" s="321">
        <v>6</v>
      </c>
      <c r="M18" s="321">
        <v>4</v>
      </c>
      <c r="N18" s="321"/>
      <c r="O18" s="321"/>
      <c r="Q18" s="339">
        <v>4.2</v>
      </c>
      <c r="T18" s="339">
        <v>3</v>
      </c>
      <c r="U18" s="339">
        <v>4</v>
      </c>
      <c r="V18" s="339">
        <v>3.5</v>
      </c>
      <c r="W18" s="339">
        <v>4.2</v>
      </c>
      <c r="X18" s="339">
        <v>4</v>
      </c>
      <c r="Y18" s="339">
        <v>4.2</v>
      </c>
      <c r="Z18" s="339">
        <v>5</v>
      </c>
      <c r="AD18" s="339">
        <v>4.2</v>
      </c>
      <c r="AG18" s="339">
        <v>4</v>
      </c>
      <c r="AH18" s="339">
        <v>4</v>
      </c>
      <c r="AI18" s="339">
        <v>4</v>
      </c>
      <c r="AJ18" s="339">
        <v>4</v>
      </c>
      <c r="AK18" s="339">
        <v>4</v>
      </c>
      <c r="AL18" s="339">
        <v>4</v>
      </c>
      <c r="AM18" s="339">
        <v>4</v>
      </c>
      <c r="AN18" s="339">
        <v>4</v>
      </c>
      <c r="AQ18" s="339">
        <v>3.9</v>
      </c>
      <c r="AR18" s="339">
        <v>3.9</v>
      </c>
      <c r="AS18" s="339">
        <v>4</v>
      </c>
      <c r="AT18" s="339">
        <v>4</v>
      </c>
      <c r="AU18" s="339">
        <v>4</v>
      </c>
    </row>
    <row r="19" spans="1:51" s="339" customFormat="1" ht="28.5" x14ac:dyDescent="0.25">
      <c r="A19" s="303">
        <v>5</v>
      </c>
      <c r="B19" s="347" t="s">
        <v>124</v>
      </c>
      <c r="C19" s="346" t="s">
        <v>26</v>
      </c>
      <c r="D19" s="349">
        <f>+ROUND(H19*(D17+D18),2)</f>
        <v>298.33999999999997</v>
      </c>
      <c r="E19" s="307">
        <f>APU!F400</f>
        <v>39003</v>
      </c>
      <c r="F19" s="308">
        <f t="shared" si="0"/>
        <v>11636155</v>
      </c>
      <c r="G19" s="321"/>
      <c r="H19" s="342">
        <v>0.1</v>
      </c>
      <c r="I19" s="321"/>
      <c r="J19" s="321"/>
      <c r="K19" s="321"/>
      <c r="L19" s="321"/>
      <c r="M19" s="321"/>
      <c r="N19" s="321"/>
      <c r="O19" s="321"/>
      <c r="AB19" s="321"/>
    </row>
    <row r="20" spans="1:51" s="339" customFormat="1" ht="28.5" x14ac:dyDescent="0.25">
      <c r="A20" s="303">
        <v>11</v>
      </c>
      <c r="B20" s="347" t="s">
        <v>151</v>
      </c>
      <c r="C20" s="346" t="s">
        <v>26</v>
      </c>
      <c r="D20" s="349">
        <f>+ROUND(H20*I20+K20*L20*M20+O20*P20*Q20,2)</f>
        <v>17.07</v>
      </c>
      <c r="E20" s="307">
        <f>APU!F645</f>
        <v>593344</v>
      </c>
      <c r="F20" s="308">
        <f t="shared" si="0"/>
        <v>10128382</v>
      </c>
      <c r="G20" s="321"/>
      <c r="H20" s="321">
        <v>0.73</v>
      </c>
      <c r="I20" s="321">
        <v>1.9</v>
      </c>
      <c r="J20" s="321"/>
      <c r="K20" s="321">
        <v>2.2000000000000002</v>
      </c>
      <c r="L20" s="321">
        <v>0.7</v>
      </c>
      <c r="M20" s="321">
        <v>2</v>
      </c>
      <c r="N20" s="321"/>
      <c r="O20" s="321">
        <v>0.6</v>
      </c>
      <c r="P20" s="339">
        <v>2.1</v>
      </c>
      <c r="Q20" s="339">
        <v>10</v>
      </c>
      <c r="S20" s="321"/>
      <c r="AB20" s="321"/>
      <c r="AF20" s="321"/>
    </row>
    <row r="21" spans="1:51" s="339" customFormat="1" ht="28.5" x14ac:dyDescent="0.25">
      <c r="A21" s="303">
        <v>12</v>
      </c>
      <c r="B21" s="347" t="s">
        <v>141</v>
      </c>
      <c r="C21" s="346" t="s">
        <v>26</v>
      </c>
      <c r="D21" s="349">
        <f>+ROUND(2*(H21*I21+K21*L21*M21+O21*P21*Q21+S21*T21+V21*W21+Y21*Z21*AA21+AC21*AD21*AE21+AG21*AH21*AI21+AK21*AL21*AM21),2)</f>
        <v>363.77</v>
      </c>
      <c r="E21" s="307">
        <f>APU!F672</f>
        <v>86770</v>
      </c>
      <c r="F21" s="308">
        <f t="shared" si="0"/>
        <v>31564323</v>
      </c>
      <c r="G21" s="321"/>
      <c r="H21" s="321">
        <v>1</v>
      </c>
      <c r="I21" s="321">
        <v>2</v>
      </c>
      <c r="J21" s="321"/>
      <c r="K21" s="321">
        <v>1</v>
      </c>
      <c r="L21" s="321">
        <v>2.7</v>
      </c>
      <c r="M21" s="321">
        <v>13</v>
      </c>
      <c r="N21" s="321"/>
      <c r="O21" s="321">
        <v>0.9</v>
      </c>
      <c r="P21" s="339">
        <v>2.15</v>
      </c>
      <c r="Q21" s="339">
        <v>25</v>
      </c>
      <c r="S21" s="339">
        <v>1.6</v>
      </c>
      <c r="T21" s="339">
        <v>1.5</v>
      </c>
      <c r="V21" s="339">
        <v>1.2</v>
      </c>
      <c r="W21" s="339">
        <v>1.2</v>
      </c>
      <c r="Y21" s="339">
        <v>1.3</v>
      </c>
      <c r="Z21" s="339">
        <v>1.3</v>
      </c>
      <c r="AA21" s="339">
        <v>3</v>
      </c>
      <c r="AC21" s="339">
        <v>1</v>
      </c>
      <c r="AD21" s="339">
        <v>1.7</v>
      </c>
      <c r="AE21" s="339">
        <v>13</v>
      </c>
      <c r="AG21" s="339">
        <v>1.4</v>
      </c>
      <c r="AH21" s="339">
        <v>2.5</v>
      </c>
      <c r="AI21" s="339">
        <v>12</v>
      </c>
      <c r="AK21" s="339">
        <v>1.8</v>
      </c>
      <c r="AL21" s="339">
        <v>1</v>
      </c>
      <c r="AM21" s="339">
        <v>13</v>
      </c>
    </row>
    <row r="22" spans="1:51" s="339" customFormat="1" ht="28.5" x14ac:dyDescent="0.25">
      <c r="A22" s="303">
        <v>14</v>
      </c>
      <c r="B22" s="347" t="s">
        <v>152</v>
      </c>
      <c r="C22" s="346" t="s">
        <v>26</v>
      </c>
      <c r="D22" s="349">
        <f>+ROUND(H22*(S21*T21+V21*W21+Y21*Z21*AA21+AC21*AD21*AE21+AG21*AH21*AI21+AK21*AL21*AM21),2)</f>
        <v>33.74</v>
      </c>
      <c r="E22" s="307">
        <f>APU!F749</f>
        <v>67130</v>
      </c>
      <c r="F22" s="308">
        <f t="shared" si="0"/>
        <v>2264966</v>
      </c>
      <c r="G22" s="321"/>
      <c r="H22" s="342">
        <v>0.35</v>
      </c>
      <c r="I22" s="321"/>
      <c r="J22" s="321"/>
      <c r="K22" s="321"/>
      <c r="L22" s="321"/>
      <c r="M22" s="321"/>
      <c r="N22" s="321"/>
      <c r="O22" s="321"/>
    </row>
    <row r="23" spans="1:51" s="339" customFormat="1" ht="28.5" x14ac:dyDescent="0.25">
      <c r="A23" s="303">
        <v>22</v>
      </c>
      <c r="B23" s="347" t="s">
        <v>235</v>
      </c>
      <c r="C23" s="346" t="s">
        <v>26</v>
      </c>
      <c r="D23" s="349">
        <f>+ROUND(H23*I23*J23,2)</f>
        <v>90.72</v>
      </c>
      <c r="E23" s="307">
        <f>+APU!F799</f>
        <v>72454</v>
      </c>
      <c r="F23" s="308">
        <f t="shared" si="0"/>
        <v>6573027</v>
      </c>
      <c r="G23" s="321"/>
      <c r="H23" s="321">
        <f>2+2+1.4</f>
        <v>5.4</v>
      </c>
      <c r="I23" s="321">
        <v>1.4</v>
      </c>
      <c r="J23" s="321">
        <v>12</v>
      </c>
      <c r="K23" s="321"/>
      <c r="L23" s="321"/>
      <c r="M23" s="321"/>
      <c r="N23" s="321"/>
      <c r="O23" s="321"/>
    </row>
    <row r="24" spans="1:51" s="339" customFormat="1" ht="28.5" x14ac:dyDescent="0.25">
      <c r="A24" s="303">
        <v>23</v>
      </c>
      <c r="B24" s="347" t="s">
        <v>234</v>
      </c>
      <c r="C24" s="346" t="s">
        <v>26</v>
      </c>
      <c r="D24" s="349">
        <f>+ROUND(H24*I24,2)</f>
        <v>594</v>
      </c>
      <c r="E24" s="307">
        <f>+APU!F379</f>
        <v>55453</v>
      </c>
      <c r="F24" s="308">
        <f t="shared" si="0"/>
        <v>32939082</v>
      </c>
      <c r="G24" s="321"/>
      <c r="H24" s="321">
        <f>30+30+6</f>
        <v>66</v>
      </c>
      <c r="I24" s="321">
        <v>9</v>
      </c>
      <c r="J24" s="321"/>
      <c r="K24" s="321"/>
      <c r="L24" s="321"/>
      <c r="M24" s="321"/>
      <c r="N24" s="321"/>
      <c r="O24" s="321"/>
    </row>
    <row r="25" spans="1:51" s="339" customFormat="1" ht="15" x14ac:dyDescent="0.25">
      <c r="A25" s="303"/>
      <c r="B25" s="304" t="s">
        <v>158</v>
      </c>
      <c r="C25" s="346"/>
      <c r="D25" s="330"/>
      <c r="E25" s="307"/>
      <c r="F25" s="308"/>
      <c r="G25" s="321"/>
      <c r="H25" s="321"/>
      <c r="I25" s="321"/>
      <c r="J25" s="321"/>
      <c r="K25" s="321"/>
      <c r="L25" s="321"/>
      <c r="M25" s="321"/>
      <c r="N25" s="321"/>
      <c r="O25" s="321"/>
    </row>
    <row r="26" spans="1:51" s="339" customFormat="1" ht="28.5" x14ac:dyDescent="0.25">
      <c r="A26" s="303">
        <v>1</v>
      </c>
      <c r="B26" s="347" t="s">
        <v>153</v>
      </c>
      <c r="C26" s="346" t="s">
        <v>40</v>
      </c>
      <c r="D26" s="349">
        <f>+ROUND(H26,2)</f>
        <v>10</v>
      </c>
      <c r="E26" s="307">
        <f>APU!F873</f>
        <v>697523</v>
      </c>
      <c r="F26" s="308">
        <f>ROUND(E26*D26,)</f>
        <v>6975230</v>
      </c>
      <c r="G26" s="321"/>
      <c r="H26" s="321">
        <v>10</v>
      </c>
      <c r="I26" s="321"/>
      <c r="J26" s="321"/>
      <c r="K26" s="321"/>
      <c r="L26" s="321"/>
      <c r="M26" s="321"/>
      <c r="N26" s="321"/>
      <c r="O26" s="321"/>
    </row>
    <row r="27" spans="1:51" s="339" customFormat="1" ht="28.5" x14ac:dyDescent="0.25">
      <c r="A27" s="303">
        <v>2</v>
      </c>
      <c r="B27" s="347" t="s">
        <v>154</v>
      </c>
      <c r="C27" s="346" t="s">
        <v>40</v>
      </c>
      <c r="D27" s="349">
        <f>+ROUND(H27,2)</f>
        <v>12</v>
      </c>
      <c r="E27" s="307">
        <f>APU!F899</f>
        <v>461600</v>
      </c>
      <c r="F27" s="308">
        <f>ROUND(E27*D27,)</f>
        <v>5539200</v>
      </c>
      <c r="G27" s="321"/>
      <c r="H27" s="321">
        <v>12</v>
      </c>
      <c r="I27" s="321"/>
      <c r="J27" s="321"/>
      <c r="K27" s="321"/>
      <c r="L27" s="321"/>
      <c r="M27" s="321"/>
      <c r="N27" s="321"/>
      <c r="O27" s="321"/>
    </row>
    <row r="28" spans="1:51" s="339" customFormat="1" ht="15" x14ac:dyDescent="0.25">
      <c r="A28" s="303"/>
      <c r="B28" s="304" t="s">
        <v>144</v>
      </c>
      <c r="C28" s="346"/>
      <c r="D28" s="330"/>
      <c r="E28" s="307"/>
      <c r="F28" s="308"/>
      <c r="G28" s="321"/>
      <c r="H28" s="321"/>
      <c r="I28" s="321"/>
      <c r="J28" s="321"/>
      <c r="K28" s="321"/>
      <c r="L28" s="321"/>
      <c r="M28" s="321"/>
      <c r="N28" s="321"/>
      <c r="O28" s="321"/>
    </row>
    <row r="29" spans="1:51" s="339" customFormat="1" ht="29.25" thickBot="1" x14ac:dyDescent="0.3">
      <c r="A29" s="303">
        <v>2</v>
      </c>
      <c r="B29" s="347" t="s">
        <v>166</v>
      </c>
      <c r="C29" s="346" t="s">
        <v>40</v>
      </c>
      <c r="D29" s="349">
        <f>+ROUND(H29,2)</f>
        <v>40</v>
      </c>
      <c r="E29" s="307">
        <f>APU!F1072</f>
        <v>161281</v>
      </c>
      <c r="F29" s="308">
        <f>ROUND(E29*D29,)</f>
        <v>6451240</v>
      </c>
      <c r="G29" s="321"/>
      <c r="H29" s="321">
        <v>40</v>
      </c>
      <c r="I29" s="321"/>
      <c r="J29" s="321"/>
      <c r="K29" s="321"/>
      <c r="L29" s="321"/>
      <c r="M29" s="321"/>
      <c r="N29" s="321"/>
      <c r="O29" s="321"/>
    </row>
    <row r="30" spans="1:51" ht="15" x14ac:dyDescent="0.25">
      <c r="A30" s="408" t="s">
        <v>13</v>
      </c>
      <c r="B30" s="409"/>
      <c r="C30" s="409"/>
      <c r="D30" s="409"/>
      <c r="E30" s="409"/>
      <c r="F30" s="315">
        <f>+SUM(F12:F29)</f>
        <v>265296346</v>
      </c>
    </row>
    <row r="31" spans="1:51" ht="15" x14ac:dyDescent="0.25">
      <c r="A31" s="392" t="s">
        <v>1</v>
      </c>
      <c r="B31" s="393"/>
      <c r="C31" s="393"/>
      <c r="D31" s="393"/>
      <c r="E31" s="316">
        <v>0.2</v>
      </c>
      <c r="F31" s="317">
        <f>ROUND(F30*E31,0)</f>
        <v>53059269</v>
      </c>
    </row>
    <row r="32" spans="1:51" ht="15" x14ac:dyDescent="0.25">
      <c r="A32" s="392" t="s">
        <v>2</v>
      </c>
      <c r="B32" s="393"/>
      <c r="C32" s="393"/>
      <c r="D32" s="393"/>
      <c r="E32" s="316">
        <v>0.03</v>
      </c>
      <c r="F32" s="317">
        <f>ROUND(F30*E32,0)</f>
        <v>7958890</v>
      </c>
    </row>
    <row r="33" spans="1:7" ht="15" x14ac:dyDescent="0.25">
      <c r="A33" s="392" t="s">
        <v>3</v>
      </c>
      <c r="B33" s="393"/>
      <c r="C33" s="393"/>
      <c r="D33" s="393"/>
      <c r="E33" s="316">
        <v>0.05</v>
      </c>
      <c r="F33" s="317">
        <f>ROUND(F30*E33,0)</f>
        <v>13264817</v>
      </c>
    </row>
    <row r="34" spans="1:7" ht="15.75" thickBot="1" x14ac:dyDescent="0.3">
      <c r="A34" s="394" t="s">
        <v>4</v>
      </c>
      <c r="B34" s="395"/>
      <c r="C34" s="395"/>
      <c r="D34" s="395"/>
      <c r="E34" s="318">
        <v>0.19</v>
      </c>
      <c r="F34" s="319">
        <f>ROUND(F33*E34,0)</f>
        <v>2520315</v>
      </c>
    </row>
    <row r="35" spans="1:7" ht="15.75" thickBot="1" x14ac:dyDescent="0.3">
      <c r="A35" s="361" t="s">
        <v>14</v>
      </c>
      <c r="B35" s="362"/>
      <c r="C35" s="362"/>
      <c r="D35" s="362"/>
      <c r="E35" s="363"/>
      <c r="F35" s="320">
        <f>SUM(F30:F34)</f>
        <v>342099637</v>
      </c>
    </row>
    <row r="36" spans="1:7" x14ac:dyDescent="0.2">
      <c r="A36" s="364" t="s">
        <v>156</v>
      </c>
      <c r="B36" s="365"/>
      <c r="C36" s="365"/>
      <c r="D36" s="365"/>
      <c r="E36" s="365"/>
      <c r="F36" s="366"/>
      <c r="G36" s="341"/>
    </row>
    <row r="37" spans="1:7" x14ac:dyDescent="0.25">
      <c r="A37" s="367"/>
      <c r="B37" s="368"/>
      <c r="C37" s="368"/>
      <c r="D37" s="368"/>
      <c r="E37" s="368"/>
      <c r="F37" s="369"/>
    </row>
    <row r="38" spans="1:7" ht="15" thickBot="1" x14ac:dyDescent="0.3">
      <c r="A38" s="370"/>
      <c r="B38" s="371"/>
      <c r="C38" s="371"/>
      <c r="D38" s="371"/>
      <c r="E38" s="371"/>
      <c r="F38" s="372"/>
    </row>
  </sheetData>
  <mergeCells count="10">
    <mergeCell ref="A32:D32"/>
    <mergeCell ref="A33:D33"/>
    <mergeCell ref="A34:D34"/>
    <mergeCell ref="A35:E35"/>
    <mergeCell ref="A36:F38"/>
    <mergeCell ref="A1:F2"/>
    <mergeCell ref="A3:F4"/>
    <mergeCell ref="A5:F7"/>
    <mergeCell ref="A30:E30"/>
    <mergeCell ref="A31:D31"/>
  </mergeCells>
  <pageMargins left="0.70866141732283472" right="0.70866141732283472" top="0.74803149606299213" bottom="0.74803149606299213" header="0.31496062992125984" footer="0.31496062992125984"/>
  <pageSetup scale="68" fitToHeight="0" orientation="portrait" horizont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648C0-97EC-4478-A285-D5B9A67948C8}">
  <sheetPr>
    <tabColor rgb="FF99FF99"/>
    <pageSetUpPr fitToPage="1"/>
  </sheetPr>
  <dimension ref="A1:AR43"/>
  <sheetViews>
    <sheetView view="pageBreakPreview" topLeftCell="A10" zoomScale="89" zoomScaleNormal="89" zoomScaleSheetLayoutView="89" workbookViewId="0">
      <selection activeCell="G10" sqref="G1:XFD1048576"/>
    </sheetView>
  </sheetViews>
  <sheetFormatPr baseColWidth="10" defaultColWidth="0" defaultRowHeight="14.25" x14ac:dyDescent="0.25"/>
  <cols>
    <col min="1" max="1" width="6.28515625" style="345" bestFit="1" customWidth="1"/>
    <col min="2" max="2" width="79.42578125" style="345" bestFit="1" customWidth="1"/>
    <col min="3" max="3" width="5.7109375" style="345" bestFit="1" customWidth="1"/>
    <col min="4" max="4" width="10.42578125" style="325" bestFit="1" customWidth="1"/>
    <col min="5" max="5" width="13.85546875" style="323" bestFit="1" customWidth="1"/>
    <col min="6" max="6" width="17.85546875" style="344" bestFit="1" customWidth="1"/>
    <col min="7" max="7" width="6.7109375" style="321" hidden="1" customWidth="1"/>
    <col min="8" max="10" width="7.5703125" style="321" hidden="1" customWidth="1"/>
    <col min="11" max="11" width="6.42578125" style="321" hidden="1" customWidth="1"/>
    <col min="12" max="12" width="7.5703125" style="321" hidden="1" customWidth="1"/>
    <col min="13" max="16" width="6.42578125" style="321" hidden="1" customWidth="1"/>
    <col min="17" max="18" width="7.5703125" style="321" hidden="1" customWidth="1"/>
    <col min="19" max="19" width="6.42578125" style="321" hidden="1" customWidth="1"/>
    <col min="20" max="20" width="7.5703125" style="321" hidden="1" customWidth="1"/>
    <col min="21" max="25" width="6.42578125" style="321" hidden="1" customWidth="1"/>
    <col min="26" max="26" width="6.7109375" style="321" hidden="1" customWidth="1"/>
    <col min="27" max="27" width="6.42578125" style="321" hidden="1" customWidth="1"/>
    <col min="28" max="29" width="7.5703125" style="321" hidden="1" customWidth="1"/>
    <col min="30" max="31" width="6.42578125" style="321" hidden="1" customWidth="1"/>
    <col min="32" max="32" width="6.7109375" style="321" hidden="1" customWidth="1"/>
    <col min="33" max="34" width="6.42578125" style="321" hidden="1" customWidth="1"/>
    <col min="35" max="35" width="6.7109375" style="321" hidden="1" customWidth="1"/>
    <col min="36" max="37" width="6.42578125" style="321" hidden="1" customWidth="1"/>
    <col min="38" max="38" width="7.5703125" style="321" hidden="1" customWidth="1"/>
    <col min="39" max="39" width="6.7109375" style="321" hidden="1" customWidth="1"/>
    <col min="40" max="41" width="6.42578125" style="321" hidden="1" customWidth="1"/>
    <col min="42" max="42" width="7.5703125" style="321" hidden="1" customWidth="1"/>
    <col min="43" max="44" width="6.42578125" style="321" hidden="1" customWidth="1"/>
    <col min="45" max="16384" width="6.7109375" style="321" hidden="1"/>
  </cols>
  <sheetData>
    <row r="1" spans="1:18" x14ac:dyDescent="0.25">
      <c r="A1" s="396" t="s">
        <v>146</v>
      </c>
      <c r="B1" s="397"/>
      <c r="C1" s="397"/>
      <c r="D1" s="397"/>
      <c r="E1" s="397"/>
      <c r="F1" s="398"/>
    </row>
    <row r="2" spans="1:18" x14ac:dyDescent="0.25">
      <c r="A2" s="399"/>
      <c r="B2" s="400"/>
      <c r="C2" s="400"/>
      <c r="D2" s="400"/>
      <c r="E2" s="400"/>
      <c r="F2" s="401"/>
    </row>
    <row r="3" spans="1:18" x14ac:dyDescent="0.25">
      <c r="A3" s="402" t="s">
        <v>5</v>
      </c>
      <c r="B3" s="403"/>
      <c r="C3" s="403"/>
      <c r="D3" s="403"/>
      <c r="E3" s="403"/>
      <c r="F3" s="404"/>
    </row>
    <row r="4" spans="1:18" x14ac:dyDescent="0.25">
      <c r="A4" s="402"/>
      <c r="B4" s="403"/>
      <c r="C4" s="403"/>
      <c r="D4" s="403"/>
      <c r="E4" s="403"/>
      <c r="F4" s="404"/>
    </row>
    <row r="5" spans="1:18" x14ac:dyDescent="0.25">
      <c r="A5" s="405" t="s">
        <v>145</v>
      </c>
      <c r="B5" s="406"/>
      <c r="C5" s="406"/>
      <c r="D5" s="406"/>
      <c r="E5" s="406"/>
      <c r="F5" s="407"/>
    </row>
    <row r="6" spans="1:18" x14ac:dyDescent="0.25">
      <c r="A6" s="405"/>
      <c r="B6" s="406"/>
      <c r="C6" s="406"/>
      <c r="D6" s="406"/>
      <c r="E6" s="406"/>
      <c r="F6" s="407"/>
    </row>
    <row r="7" spans="1:18" ht="15" thickBot="1" x14ac:dyDescent="0.3">
      <c r="A7" s="405"/>
      <c r="B7" s="406"/>
      <c r="C7" s="406"/>
      <c r="D7" s="406"/>
      <c r="E7" s="406"/>
      <c r="F7" s="407"/>
    </row>
    <row r="8" spans="1:18" ht="15.75" thickBot="1" x14ac:dyDescent="0.3">
      <c r="A8" s="286" t="s">
        <v>9</v>
      </c>
      <c r="B8" s="287" t="s">
        <v>10</v>
      </c>
      <c r="C8" s="287" t="s">
        <v>0</v>
      </c>
      <c r="D8" s="288" t="s">
        <v>6</v>
      </c>
      <c r="E8" s="289" t="s">
        <v>7</v>
      </c>
      <c r="F8" s="290" t="s">
        <v>8</v>
      </c>
    </row>
    <row r="9" spans="1:18" ht="15" x14ac:dyDescent="0.25">
      <c r="A9" s="291" t="s">
        <v>12</v>
      </c>
      <c r="B9" s="292" t="s">
        <v>11</v>
      </c>
      <c r="C9" s="293"/>
      <c r="D9" s="294"/>
      <c r="E9" s="295"/>
      <c r="F9" s="296"/>
    </row>
    <row r="10" spans="1:18" s="339" customFormat="1" ht="15" x14ac:dyDescent="0.25">
      <c r="A10" s="297" t="s">
        <v>133</v>
      </c>
      <c r="B10" s="298" t="s">
        <v>240</v>
      </c>
      <c r="C10" s="299"/>
      <c r="D10" s="300"/>
      <c r="E10" s="301"/>
      <c r="F10" s="302"/>
      <c r="G10" s="321"/>
    </row>
    <row r="11" spans="1:18" s="339" customFormat="1" ht="15" x14ac:dyDescent="0.25">
      <c r="A11" s="303"/>
      <c r="B11" s="304" t="s">
        <v>55</v>
      </c>
      <c r="C11" s="305"/>
      <c r="D11" s="306"/>
      <c r="E11" s="307"/>
      <c r="F11" s="308"/>
      <c r="G11" s="321"/>
    </row>
    <row r="12" spans="1:18" s="339" customFormat="1" ht="28.5" x14ac:dyDescent="0.25">
      <c r="A12" s="303">
        <v>1</v>
      </c>
      <c r="B12" s="347" t="s">
        <v>56</v>
      </c>
      <c r="C12" s="346" t="s">
        <v>26</v>
      </c>
      <c r="D12" s="349">
        <f>+ROUND(H12*I12*J12,2)</f>
        <v>64.400000000000006</v>
      </c>
      <c r="E12" s="307">
        <f>APU!F26</f>
        <v>22775</v>
      </c>
      <c r="F12" s="308">
        <f t="shared" ref="F12:F17" si="0">ROUND(E12*D12,)</f>
        <v>1466710</v>
      </c>
      <c r="G12" s="321"/>
      <c r="H12" s="339">
        <f>19+4</f>
        <v>23</v>
      </c>
      <c r="I12" s="339">
        <f>17+11</f>
        <v>28</v>
      </c>
      <c r="J12" s="343">
        <v>0.1</v>
      </c>
    </row>
    <row r="13" spans="1:18" s="339" customFormat="1" ht="28.5" x14ac:dyDescent="0.25">
      <c r="A13" s="303">
        <v>2</v>
      </c>
      <c r="B13" s="347" t="s">
        <v>147</v>
      </c>
      <c r="C13" s="346" t="s">
        <v>26</v>
      </c>
      <c r="D13" s="349">
        <f>+ROUND(H12*I12*J12,2)</f>
        <v>64.400000000000006</v>
      </c>
      <c r="E13" s="307">
        <f>APU!F53</f>
        <v>47165</v>
      </c>
      <c r="F13" s="308">
        <f t="shared" si="0"/>
        <v>3037426</v>
      </c>
      <c r="G13" s="321"/>
    </row>
    <row r="14" spans="1:18" s="339" customFormat="1" x14ac:dyDescent="0.25">
      <c r="A14" s="303">
        <f>1+A13</f>
        <v>3</v>
      </c>
      <c r="B14" s="347" t="s">
        <v>148</v>
      </c>
      <c r="C14" s="346" t="s">
        <v>40</v>
      </c>
      <c r="D14" s="349">
        <f>+ROUNDUP(H14*I14,0)</f>
        <v>7</v>
      </c>
      <c r="E14" s="307">
        <f>APU!F79</f>
        <v>63241</v>
      </c>
      <c r="F14" s="308">
        <f t="shared" si="0"/>
        <v>442687</v>
      </c>
      <c r="G14" s="321"/>
      <c r="H14" s="321">
        <v>65</v>
      </c>
      <c r="I14" s="342">
        <v>0.1</v>
      </c>
      <c r="J14" s="321"/>
      <c r="K14" s="321"/>
      <c r="L14" s="321"/>
      <c r="M14" s="321"/>
      <c r="N14" s="321"/>
      <c r="O14" s="321"/>
      <c r="P14" s="321"/>
      <c r="Q14" s="321"/>
      <c r="R14" s="321"/>
    </row>
    <row r="15" spans="1:18" s="339" customFormat="1" x14ac:dyDescent="0.25">
      <c r="A15" s="303">
        <v>4</v>
      </c>
      <c r="B15" s="347" t="s">
        <v>149</v>
      </c>
      <c r="C15" s="346" t="s">
        <v>26</v>
      </c>
      <c r="D15" s="349">
        <f>+ROUND(H12*I12*J12,2)</f>
        <v>64.400000000000006</v>
      </c>
      <c r="E15" s="307">
        <f>APU!F105</f>
        <v>55259</v>
      </c>
      <c r="F15" s="308">
        <f t="shared" si="0"/>
        <v>3558680</v>
      </c>
      <c r="G15" s="321"/>
    </row>
    <row r="16" spans="1:18" s="339" customFormat="1" x14ac:dyDescent="0.25">
      <c r="A16" s="303">
        <v>6</v>
      </c>
      <c r="B16" s="347" t="s">
        <v>57</v>
      </c>
      <c r="C16" s="346" t="s">
        <v>33</v>
      </c>
      <c r="D16" s="349">
        <f>+ROUND(H16*(H12+I12),2)</f>
        <v>204</v>
      </c>
      <c r="E16" s="307">
        <f>APU!F155</f>
        <v>20436</v>
      </c>
      <c r="F16" s="308">
        <f t="shared" si="0"/>
        <v>4168944</v>
      </c>
      <c r="G16" s="321"/>
      <c r="H16" s="339">
        <v>4</v>
      </c>
    </row>
    <row r="17" spans="1:44" s="339" customFormat="1" ht="28.5" x14ac:dyDescent="0.25">
      <c r="A17" s="303">
        <v>8</v>
      </c>
      <c r="B17" s="347" t="s">
        <v>150</v>
      </c>
      <c r="C17" s="346" t="s">
        <v>26</v>
      </c>
      <c r="D17" s="349">
        <f>+ROUND(H17*I17+H12*I12*K17,2)</f>
        <v>188.8</v>
      </c>
      <c r="E17" s="307">
        <f>APU!F220</f>
        <v>98520</v>
      </c>
      <c r="F17" s="308">
        <f t="shared" si="0"/>
        <v>18600576</v>
      </c>
      <c r="G17" s="321"/>
      <c r="H17" s="339">
        <v>6</v>
      </c>
      <c r="I17" s="339">
        <v>10</v>
      </c>
      <c r="K17" s="343">
        <v>0.2</v>
      </c>
    </row>
    <row r="18" spans="1:44" s="339" customFormat="1" ht="15" x14ac:dyDescent="0.25">
      <c r="A18" s="303"/>
      <c r="B18" s="304" t="s">
        <v>58</v>
      </c>
      <c r="C18" s="346"/>
      <c r="D18" s="330"/>
      <c r="E18" s="307"/>
      <c r="F18" s="308"/>
      <c r="G18" s="321"/>
    </row>
    <row r="19" spans="1:44" s="339" customFormat="1" x14ac:dyDescent="0.25">
      <c r="A19" s="303">
        <v>3</v>
      </c>
      <c r="B19" s="347" t="s">
        <v>93</v>
      </c>
      <c r="C19" s="346" t="s">
        <v>26</v>
      </c>
      <c r="D19" s="349">
        <f>+ROUND(H19*I19+K19*L19*M19+O19*P19*Q19+S19*T19*U19+W19*X19*Y19+AA19*2*AD19*SUM(AB19:AC19),2)</f>
        <v>898.4</v>
      </c>
      <c r="E19" s="307">
        <f>APU!F321</f>
        <v>30259</v>
      </c>
      <c r="F19" s="308">
        <f t="shared" ref="F19:F25" si="1">ROUND(E19*D19,)</f>
        <v>27184686</v>
      </c>
      <c r="G19" s="321"/>
      <c r="H19" s="339">
        <v>6</v>
      </c>
      <c r="I19" s="339">
        <v>2.4</v>
      </c>
      <c r="K19" s="339">
        <v>3</v>
      </c>
      <c r="L19" s="339">
        <v>10</v>
      </c>
      <c r="M19" s="339">
        <v>3</v>
      </c>
      <c r="O19" s="339">
        <v>3</v>
      </c>
      <c r="P19" s="339">
        <v>6</v>
      </c>
      <c r="Q19" s="339">
        <v>3</v>
      </c>
      <c r="S19" s="339">
        <v>4</v>
      </c>
      <c r="T19" s="339">
        <v>10</v>
      </c>
      <c r="U19" s="339">
        <v>2</v>
      </c>
      <c r="W19" s="339">
        <v>4</v>
      </c>
      <c r="X19" s="339">
        <v>6</v>
      </c>
      <c r="Y19" s="339">
        <v>2</v>
      </c>
      <c r="AA19" s="339">
        <v>3</v>
      </c>
      <c r="AB19" s="339">
        <v>17</v>
      </c>
      <c r="AC19" s="339">
        <v>17</v>
      </c>
      <c r="AD19" s="339">
        <v>3</v>
      </c>
    </row>
    <row r="20" spans="1:44" s="339" customFormat="1" ht="28.5" x14ac:dyDescent="0.25">
      <c r="A20" s="303">
        <v>4</v>
      </c>
      <c r="B20" s="347" t="s">
        <v>27</v>
      </c>
      <c r="C20" s="346" t="s">
        <v>26</v>
      </c>
      <c r="D20" s="349">
        <f>+ROUND((H20*(I20+J20*2))*K20,2)</f>
        <v>237</v>
      </c>
      <c r="E20" s="307">
        <f>APU!F350</f>
        <v>34715</v>
      </c>
      <c r="F20" s="308">
        <f t="shared" si="1"/>
        <v>8227455</v>
      </c>
      <c r="G20" s="321"/>
      <c r="H20" s="339">
        <v>3</v>
      </c>
      <c r="I20" s="339">
        <v>23</v>
      </c>
      <c r="J20" s="339">
        <v>28</v>
      </c>
      <c r="K20" s="339">
        <v>1</v>
      </c>
    </row>
    <row r="21" spans="1:44" s="339" customFormat="1" ht="28.5" x14ac:dyDescent="0.25">
      <c r="A21" s="303">
        <v>5</v>
      </c>
      <c r="B21" s="347" t="s">
        <v>124</v>
      </c>
      <c r="C21" s="346" t="s">
        <v>26</v>
      </c>
      <c r="D21" s="349">
        <f>+ROUND(H19*I19+K19*L19*M19+O19*P19*Q19+S19*T19*U19+W19*X19*Y19,2)</f>
        <v>286.39999999999998</v>
      </c>
      <c r="E21" s="307">
        <f>APU!F400</f>
        <v>39003</v>
      </c>
      <c r="F21" s="308">
        <f t="shared" si="1"/>
        <v>11170459</v>
      </c>
      <c r="G21" s="321"/>
    </row>
    <row r="22" spans="1:44" s="339" customFormat="1" ht="28.5" x14ac:dyDescent="0.25">
      <c r="A22" s="303">
        <v>8</v>
      </c>
      <c r="B22" s="347" t="s">
        <v>157</v>
      </c>
      <c r="C22" s="346" t="s">
        <v>26</v>
      </c>
      <c r="D22" s="349">
        <f>+ROUND(H22*I22*J22,2)</f>
        <v>97.5</v>
      </c>
      <c r="E22" s="307">
        <f>APU!F565</f>
        <v>103037</v>
      </c>
      <c r="F22" s="308">
        <f t="shared" si="1"/>
        <v>10046108</v>
      </c>
      <c r="G22" s="321"/>
      <c r="H22" s="339">
        <f>3+3.5</f>
        <v>6.5</v>
      </c>
      <c r="I22" s="339">
        <v>3</v>
      </c>
      <c r="J22" s="339">
        <v>5</v>
      </c>
    </row>
    <row r="23" spans="1:44" s="339" customFormat="1" ht="28.5" x14ac:dyDescent="0.25">
      <c r="A23" s="303">
        <v>11</v>
      </c>
      <c r="B23" s="347" t="s">
        <v>151</v>
      </c>
      <c r="C23" s="346" t="s">
        <v>26</v>
      </c>
      <c r="D23" s="349">
        <f>+ROUND(H23*I23*J23+L23*M23*N23+P23*Q23+S23*T23+V23*W23*X23,2)</f>
        <v>53.8</v>
      </c>
      <c r="E23" s="307">
        <f>APU!F645</f>
        <v>593344</v>
      </c>
      <c r="F23" s="308">
        <f t="shared" si="1"/>
        <v>31921907</v>
      </c>
      <c r="G23" s="321"/>
      <c r="H23" s="339">
        <v>2.25</v>
      </c>
      <c r="I23" s="339">
        <v>0.8</v>
      </c>
      <c r="J23" s="339">
        <v>13</v>
      </c>
      <c r="L23" s="339">
        <v>2.25</v>
      </c>
      <c r="M23" s="339">
        <v>0.9</v>
      </c>
      <c r="N23" s="339">
        <v>7</v>
      </c>
      <c r="P23" s="339">
        <v>2.25</v>
      </c>
      <c r="Q23" s="339">
        <v>1.5</v>
      </c>
      <c r="S23" s="339">
        <v>2.5</v>
      </c>
      <c r="T23" s="339">
        <v>1</v>
      </c>
      <c r="V23" s="339">
        <v>2.2999999999999998</v>
      </c>
      <c r="W23" s="339">
        <v>0.9</v>
      </c>
      <c r="X23" s="339">
        <v>5</v>
      </c>
    </row>
    <row r="24" spans="1:44" s="339" customFormat="1" ht="28.5" x14ac:dyDescent="0.25">
      <c r="A24" s="303">
        <v>12</v>
      </c>
      <c r="B24" s="347" t="s">
        <v>141</v>
      </c>
      <c r="C24" s="346" t="s">
        <v>26</v>
      </c>
      <c r="D24" s="349">
        <f>+ROUND(2*(H24*I24*J24+L24*M24+O24*P24*Q24+S24*T24*U24+W24*X24*Y24+AA24*AB24+AD24*AE24+AG24*AH24+AJ24*AK24*AL24+AN24*AO24+AQ24*AR24),2)</f>
        <v>419.58</v>
      </c>
      <c r="E24" s="307">
        <f>APU!F672</f>
        <v>86770</v>
      </c>
      <c r="F24" s="308">
        <f t="shared" si="1"/>
        <v>36406957</v>
      </c>
      <c r="G24" s="321"/>
      <c r="H24" s="339">
        <v>1.6</v>
      </c>
      <c r="I24" s="339">
        <v>2.4</v>
      </c>
      <c r="J24" s="339">
        <v>8</v>
      </c>
      <c r="L24" s="339">
        <v>1.6</v>
      </c>
      <c r="M24" s="339">
        <v>3.2</v>
      </c>
      <c r="O24" s="339">
        <v>0.5</v>
      </c>
      <c r="P24" s="339">
        <v>1.2</v>
      </c>
      <c r="Q24" s="339">
        <v>16</v>
      </c>
      <c r="S24" s="339">
        <v>1.6</v>
      </c>
      <c r="T24" s="339">
        <v>2.6</v>
      </c>
      <c r="U24" s="339">
        <v>7</v>
      </c>
      <c r="W24" s="339">
        <v>1.6</v>
      </c>
      <c r="X24" s="339">
        <v>2.2999999999999998</v>
      </c>
      <c r="Y24" s="339">
        <v>6</v>
      </c>
      <c r="AA24" s="339">
        <v>0.5</v>
      </c>
      <c r="AB24" s="339">
        <v>0.7</v>
      </c>
      <c r="AD24" s="339">
        <v>1.6</v>
      </c>
      <c r="AE24" s="339">
        <v>3</v>
      </c>
      <c r="AG24" s="339">
        <v>1.6</v>
      </c>
      <c r="AH24" s="339">
        <v>2</v>
      </c>
      <c r="AJ24" s="339">
        <v>1.6</v>
      </c>
      <c r="AK24" s="339">
        <v>5</v>
      </c>
      <c r="AL24" s="339">
        <v>12</v>
      </c>
      <c r="AN24" s="339">
        <v>1.6</v>
      </c>
      <c r="AO24" s="339">
        <v>4</v>
      </c>
      <c r="AQ24" s="339">
        <v>2.4</v>
      </c>
      <c r="AR24" s="339">
        <v>1</v>
      </c>
    </row>
    <row r="25" spans="1:44" s="339" customFormat="1" ht="28.5" x14ac:dyDescent="0.25">
      <c r="A25" s="303">
        <v>14</v>
      </c>
      <c r="B25" s="347" t="s">
        <v>152</v>
      </c>
      <c r="C25" s="346" t="s">
        <v>26</v>
      </c>
      <c r="D25" s="349">
        <f>+ROUND(H25*(H24*I24*J24+L24*M24+O24*P24*Q24+S24*T24*U24+W24*X24*Y24+AA24*AB24+AD24*AE24+AG24*AH24+AJ24*AK24*AL24+AN24*AO24),2)</f>
        <v>72.59</v>
      </c>
      <c r="E25" s="307">
        <f>APU!F749</f>
        <v>67130</v>
      </c>
      <c r="F25" s="308">
        <f t="shared" si="1"/>
        <v>4872967</v>
      </c>
      <c r="G25" s="321"/>
      <c r="H25" s="343">
        <v>0.35</v>
      </c>
    </row>
    <row r="26" spans="1:44" s="339" customFormat="1" ht="15" x14ac:dyDescent="0.25">
      <c r="A26" s="303"/>
      <c r="B26" s="304" t="s">
        <v>158</v>
      </c>
      <c r="C26" s="346"/>
      <c r="D26" s="330"/>
      <c r="E26" s="307"/>
      <c r="F26" s="308"/>
      <c r="G26" s="321"/>
    </row>
    <row r="27" spans="1:44" s="339" customFormat="1" ht="28.5" x14ac:dyDescent="0.25">
      <c r="A27" s="303">
        <v>1</v>
      </c>
      <c r="B27" s="347" t="s">
        <v>153</v>
      </c>
      <c r="C27" s="346" t="s">
        <v>40</v>
      </c>
      <c r="D27" s="349">
        <f>+ROUND(H27,2)</f>
        <v>12</v>
      </c>
      <c r="E27" s="307">
        <f>APU!F873</f>
        <v>697523</v>
      </c>
      <c r="F27" s="308">
        <f>ROUND(E27*D27,)</f>
        <v>8370276</v>
      </c>
      <c r="G27" s="321"/>
      <c r="H27" s="339">
        <v>12</v>
      </c>
    </row>
    <row r="28" spans="1:44" s="339" customFormat="1" ht="28.5" x14ac:dyDescent="0.25">
      <c r="A28" s="303">
        <v>2</v>
      </c>
      <c r="B28" s="347" t="s">
        <v>154</v>
      </c>
      <c r="C28" s="346" t="s">
        <v>40</v>
      </c>
      <c r="D28" s="349">
        <f>+ROUND(H28,2)</f>
        <v>8</v>
      </c>
      <c r="E28" s="307">
        <f>APU!F899</f>
        <v>461600</v>
      </c>
      <c r="F28" s="308">
        <f>ROUND(E28*D28,)</f>
        <v>3692800</v>
      </c>
      <c r="G28" s="321"/>
      <c r="H28" s="339">
        <v>8</v>
      </c>
    </row>
    <row r="29" spans="1:44" s="339" customFormat="1" ht="28.5" x14ac:dyDescent="0.25">
      <c r="A29" s="303">
        <v>3</v>
      </c>
      <c r="B29" s="347" t="s">
        <v>92</v>
      </c>
      <c r="C29" s="346" t="s">
        <v>40</v>
      </c>
      <c r="D29" s="349">
        <f>+ROUND(H29,2)</f>
        <v>3</v>
      </c>
      <c r="E29" s="307">
        <f>APU!F924</f>
        <v>832523</v>
      </c>
      <c r="F29" s="308">
        <f>ROUND(E29*D29,)</f>
        <v>2497569</v>
      </c>
      <c r="G29" s="321"/>
      <c r="H29" s="339">
        <v>3</v>
      </c>
    </row>
    <row r="30" spans="1:44" s="339" customFormat="1" ht="28.5" x14ac:dyDescent="0.25">
      <c r="A30" s="303">
        <v>4</v>
      </c>
      <c r="B30" s="347" t="s">
        <v>61</v>
      </c>
      <c r="C30" s="346" t="s">
        <v>62</v>
      </c>
      <c r="D30" s="349">
        <f>+ROUND(H30*I30*J30,2)</f>
        <v>6.25</v>
      </c>
      <c r="E30" s="307">
        <f>APU!F950</f>
        <v>36676</v>
      </c>
      <c r="F30" s="308">
        <f>ROUND(E30*D30,)</f>
        <v>229225</v>
      </c>
      <c r="G30" s="321"/>
      <c r="H30" s="339">
        <v>2.5</v>
      </c>
      <c r="I30" s="339">
        <v>2.5</v>
      </c>
      <c r="J30" s="339">
        <v>1</v>
      </c>
    </row>
    <row r="31" spans="1:44" s="339" customFormat="1" x14ac:dyDescent="0.25">
      <c r="A31" s="303">
        <v>9</v>
      </c>
      <c r="B31" s="347" t="s">
        <v>236</v>
      </c>
      <c r="C31" s="346" t="s">
        <v>33</v>
      </c>
      <c r="D31" s="349">
        <f>+ROUND(H31*I31,2)</f>
        <v>60</v>
      </c>
      <c r="E31" s="307">
        <f>+APU!F489</f>
        <v>41601</v>
      </c>
      <c r="F31" s="308">
        <f>ROUND(E31*D31,)</f>
        <v>2496060</v>
      </c>
      <c r="G31" s="321"/>
      <c r="H31" s="339">
        <v>15</v>
      </c>
      <c r="I31" s="339">
        <v>4</v>
      </c>
    </row>
    <row r="32" spans="1:44" s="339" customFormat="1" ht="15" x14ac:dyDescent="0.25">
      <c r="A32" s="303"/>
      <c r="B32" s="304" t="s">
        <v>144</v>
      </c>
      <c r="C32" s="346"/>
      <c r="D32" s="330"/>
      <c r="E32" s="307"/>
      <c r="F32" s="308"/>
      <c r="G32" s="321"/>
    </row>
    <row r="33" spans="1:8" s="339" customFormat="1" ht="28.5" x14ac:dyDescent="0.25">
      <c r="A33" s="303">
        <v>3</v>
      </c>
      <c r="B33" s="347" t="s">
        <v>167</v>
      </c>
      <c r="C33" s="346" t="s">
        <v>40</v>
      </c>
      <c r="D33" s="349">
        <f>+ROUND(H33,2)</f>
        <v>20</v>
      </c>
      <c r="E33" s="307">
        <f>APU!F1097</f>
        <v>149281</v>
      </c>
      <c r="F33" s="308">
        <f>ROUND(E33*D33,)</f>
        <v>2985620</v>
      </c>
      <c r="G33" s="321"/>
      <c r="H33" s="339">
        <v>20</v>
      </c>
    </row>
    <row r="34" spans="1:8" s="339" customFormat="1" ht="29.25" thickBot="1" x14ac:dyDescent="0.3">
      <c r="A34" s="303">
        <v>4</v>
      </c>
      <c r="B34" s="347" t="s">
        <v>155</v>
      </c>
      <c r="C34" s="346" t="s">
        <v>40</v>
      </c>
      <c r="D34" s="349">
        <f>+ROUND(H34,2)</f>
        <v>20</v>
      </c>
      <c r="E34" s="307">
        <f>+APU!F1121</f>
        <v>55517</v>
      </c>
      <c r="F34" s="308">
        <f>ROUND(E34*D34,)</f>
        <v>1110340</v>
      </c>
      <c r="G34" s="321"/>
      <c r="H34" s="339">
        <v>20</v>
      </c>
    </row>
    <row r="35" spans="1:8" ht="15" x14ac:dyDescent="0.25">
      <c r="A35" s="408" t="s">
        <v>13</v>
      </c>
      <c r="B35" s="409"/>
      <c r="C35" s="409"/>
      <c r="D35" s="409"/>
      <c r="E35" s="409"/>
      <c r="F35" s="315">
        <f>+SUM(F12:F34)</f>
        <v>182487452</v>
      </c>
    </row>
    <row r="36" spans="1:8" ht="15" x14ac:dyDescent="0.25">
      <c r="A36" s="392" t="s">
        <v>1</v>
      </c>
      <c r="B36" s="393"/>
      <c r="C36" s="393"/>
      <c r="D36" s="393"/>
      <c r="E36" s="316">
        <v>0.2</v>
      </c>
      <c r="F36" s="317">
        <f>ROUND(F35*E36,0)</f>
        <v>36497490</v>
      </c>
    </row>
    <row r="37" spans="1:8" ht="15" x14ac:dyDescent="0.25">
      <c r="A37" s="392" t="s">
        <v>2</v>
      </c>
      <c r="B37" s="393"/>
      <c r="C37" s="393"/>
      <c r="D37" s="393"/>
      <c r="E37" s="316">
        <v>0.03</v>
      </c>
      <c r="F37" s="317">
        <f>ROUND(F35*E37,0)</f>
        <v>5474624</v>
      </c>
    </row>
    <row r="38" spans="1:8" ht="15" x14ac:dyDescent="0.25">
      <c r="A38" s="392" t="s">
        <v>3</v>
      </c>
      <c r="B38" s="393"/>
      <c r="C38" s="393"/>
      <c r="D38" s="393"/>
      <c r="E38" s="316">
        <v>0.05</v>
      </c>
      <c r="F38" s="317">
        <f>ROUND(F35*E38,0)</f>
        <v>9124373</v>
      </c>
    </row>
    <row r="39" spans="1:8" ht="15.75" thickBot="1" x14ac:dyDescent="0.3">
      <c r="A39" s="394" t="s">
        <v>4</v>
      </c>
      <c r="B39" s="395"/>
      <c r="C39" s="395"/>
      <c r="D39" s="395"/>
      <c r="E39" s="318">
        <v>0.19</v>
      </c>
      <c r="F39" s="319">
        <f>ROUND(F38*E39,0)</f>
        <v>1733631</v>
      </c>
    </row>
    <row r="40" spans="1:8" ht="15.75" thickBot="1" x14ac:dyDescent="0.3">
      <c r="A40" s="361" t="s">
        <v>14</v>
      </c>
      <c r="B40" s="362"/>
      <c r="C40" s="362"/>
      <c r="D40" s="362"/>
      <c r="E40" s="363"/>
      <c r="F40" s="320">
        <f>SUM(F35:F39)</f>
        <v>235317570</v>
      </c>
    </row>
    <row r="41" spans="1:8" x14ac:dyDescent="0.25">
      <c r="A41" s="364" t="s">
        <v>156</v>
      </c>
      <c r="B41" s="365"/>
      <c r="C41" s="365"/>
      <c r="D41" s="365"/>
      <c r="E41" s="365"/>
      <c r="F41" s="366"/>
    </row>
    <row r="42" spans="1:8" x14ac:dyDescent="0.25">
      <c r="A42" s="367"/>
      <c r="B42" s="368"/>
      <c r="C42" s="368"/>
      <c r="D42" s="368"/>
      <c r="E42" s="368"/>
      <c r="F42" s="369"/>
    </row>
    <row r="43" spans="1:8" ht="15" thickBot="1" x14ac:dyDescent="0.3">
      <c r="A43" s="370"/>
      <c r="B43" s="371"/>
      <c r="C43" s="371"/>
      <c r="D43" s="371"/>
      <c r="E43" s="371"/>
      <c r="F43" s="372"/>
    </row>
  </sheetData>
  <mergeCells count="10">
    <mergeCell ref="A38:D38"/>
    <mergeCell ref="A39:D39"/>
    <mergeCell ref="A40:E40"/>
    <mergeCell ref="A41:F43"/>
    <mergeCell ref="A1:F2"/>
    <mergeCell ref="A3:F4"/>
    <mergeCell ref="A5:F7"/>
    <mergeCell ref="A35:E35"/>
    <mergeCell ref="A36:D36"/>
    <mergeCell ref="A37:D37"/>
  </mergeCells>
  <pageMargins left="0.70866141732283472" right="0.70866141732283472" top="0.74803149606299213" bottom="0.74803149606299213" header="0.31496062992125984" footer="0.31496062992125984"/>
  <pageSetup scale="68" fitToHeight="0" orientation="portrait" horizont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41DC9-E168-4679-B63C-B69C9BF7BAC5}">
  <sheetPr>
    <tabColor rgb="FF99FF99"/>
    <pageSetUpPr fitToPage="1"/>
  </sheetPr>
  <dimension ref="A1:Q28"/>
  <sheetViews>
    <sheetView view="pageBreakPreview" zoomScale="89" zoomScaleNormal="89" zoomScaleSheetLayoutView="89" workbookViewId="0">
      <selection activeCell="G1" sqref="G1:XFD1048576"/>
    </sheetView>
  </sheetViews>
  <sheetFormatPr baseColWidth="10" defaultColWidth="0" defaultRowHeight="14.25" x14ac:dyDescent="0.25"/>
  <cols>
    <col min="1" max="1" width="6.28515625" style="322" bestFit="1" customWidth="1"/>
    <col min="2" max="2" width="69.85546875" style="322" bestFit="1" customWidth="1"/>
    <col min="3" max="3" width="8.140625" style="322" bestFit="1" customWidth="1"/>
    <col min="4" max="4" width="10.42578125" style="325" bestFit="1" customWidth="1"/>
    <col min="5" max="5" width="15.5703125" style="326" bestFit="1" customWidth="1"/>
    <col min="6" max="6" width="17.85546875" style="327" bestFit="1" customWidth="1"/>
    <col min="7" max="7" width="6.85546875" style="321" hidden="1" customWidth="1"/>
    <col min="8" max="8" width="10.42578125" style="321" hidden="1" customWidth="1"/>
    <col min="9" max="9" width="5.28515625" style="321" hidden="1" customWidth="1"/>
    <col min="10" max="10" width="16.7109375" style="321" hidden="1" customWidth="1"/>
    <col min="11" max="13" width="10.42578125" style="321" hidden="1" customWidth="1"/>
    <col min="14" max="14" width="6.7109375" style="321" hidden="1" customWidth="1"/>
    <col min="15" max="17" width="0" style="321" hidden="1" customWidth="1"/>
    <col min="18" max="16384" width="6.7109375" style="321" hidden="1"/>
  </cols>
  <sheetData>
    <row r="1" spans="1:17" x14ac:dyDescent="0.25">
      <c r="A1" s="377" t="s">
        <v>146</v>
      </c>
      <c r="B1" s="378"/>
      <c r="C1" s="378"/>
      <c r="D1" s="378"/>
      <c r="E1" s="378"/>
      <c r="F1" s="379"/>
    </row>
    <row r="2" spans="1:17" x14ac:dyDescent="0.25">
      <c r="A2" s="380"/>
      <c r="B2" s="381"/>
      <c r="C2" s="381"/>
      <c r="D2" s="381"/>
      <c r="E2" s="381"/>
      <c r="F2" s="382"/>
    </row>
    <row r="3" spans="1:17" x14ac:dyDescent="0.25">
      <c r="A3" s="383" t="s">
        <v>5</v>
      </c>
      <c r="B3" s="384"/>
      <c r="C3" s="384"/>
      <c r="D3" s="384"/>
      <c r="E3" s="384"/>
      <c r="F3" s="385"/>
    </row>
    <row r="4" spans="1:17" x14ac:dyDescent="0.25">
      <c r="A4" s="383"/>
      <c r="B4" s="384"/>
      <c r="C4" s="384"/>
      <c r="D4" s="384"/>
      <c r="E4" s="384"/>
      <c r="F4" s="385"/>
    </row>
    <row r="5" spans="1:17" x14ac:dyDescent="0.25">
      <c r="A5" s="374" t="s">
        <v>145</v>
      </c>
      <c r="B5" s="375"/>
      <c r="C5" s="375"/>
      <c r="D5" s="375"/>
      <c r="E5" s="375"/>
      <c r="F5" s="376"/>
    </row>
    <row r="6" spans="1:17" x14ac:dyDescent="0.25">
      <c r="A6" s="374"/>
      <c r="B6" s="375"/>
      <c r="C6" s="375"/>
      <c r="D6" s="375"/>
      <c r="E6" s="375"/>
      <c r="F6" s="376"/>
    </row>
    <row r="7" spans="1:17" ht="15" thickBot="1" x14ac:dyDescent="0.3">
      <c r="A7" s="374"/>
      <c r="B7" s="375"/>
      <c r="C7" s="375"/>
      <c r="D7" s="375"/>
      <c r="E7" s="375"/>
      <c r="F7" s="376"/>
    </row>
    <row r="8" spans="1:17" ht="15.75" thickBot="1" x14ac:dyDescent="0.3">
      <c r="A8" s="286" t="s">
        <v>9</v>
      </c>
      <c r="B8" s="287" t="s">
        <v>10</v>
      </c>
      <c r="C8" s="287" t="s">
        <v>0</v>
      </c>
      <c r="D8" s="288" t="s">
        <v>6</v>
      </c>
      <c r="E8" s="289" t="s">
        <v>7</v>
      </c>
      <c r="F8" s="290" t="s">
        <v>8</v>
      </c>
    </row>
    <row r="9" spans="1:17" ht="15" x14ac:dyDescent="0.25">
      <c r="A9" s="291" t="s">
        <v>12</v>
      </c>
      <c r="B9" s="292" t="s">
        <v>11</v>
      </c>
      <c r="C9" s="293"/>
      <c r="D9" s="294"/>
      <c r="E9" s="295"/>
      <c r="F9" s="296"/>
    </row>
    <row r="10" spans="1:17" s="339" customFormat="1" ht="30" x14ac:dyDescent="0.25">
      <c r="A10" s="297" t="s">
        <v>133</v>
      </c>
      <c r="B10" s="298" t="s">
        <v>257</v>
      </c>
      <c r="C10" s="299"/>
      <c r="D10" s="300"/>
      <c r="E10" s="301"/>
      <c r="F10" s="302"/>
      <c r="G10" s="321"/>
      <c r="H10" s="321"/>
      <c r="I10" s="321"/>
      <c r="J10" s="321"/>
      <c r="K10" s="321"/>
      <c r="L10" s="321"/>
      <c r="M10" s="321"/>
      <c r="N10" s="321"/>
      <c r="O10" s="321"/>
      <c r="P10" s="338"/>
      <c r="Q10" s="321"/>
    </row>
    <row r="11" spans="1:17" s="339" customFormat="1" ht="15" x14ac:dyDescent="0.25">
      <c r="A11" s="303"/>
      <c r="B11" s="304" t="s">
        <v>55</v>
      </c>
      <c r="C11" s="305"/>
      <c r="D11" s="306"/>
      <c r="E11" s="307"/>
      <c r="F11" s="308"/>
      <c r="G11" s="321"/>
      <c r="H11" s="321"/>
      <c r="I11" s="321"/>
      <c r="J11" s="321"/>
      <c r="K11" s="321"/>
      <c r="L11" s="321"/>
      <c r="M11" s="321"/>
      <c r="N11" s="321"/>
      <c r="O11" s="321"/>
      <c r="P11" s="340"/>
      <c r="Q11" s="321"/>
    </row>
    <row r="12" spans="1:17" s="339" customFormat="1" ht="28.5" x14ac:dyDescent="0.25">
      <c r="A12" s="303">
        <v>1</v>
      </c>
      <c r="B12" s="336" t="s">
        <v>56</v>
      </c>
      <c r="C12" s="335" t="s">
        <v>26</v>
      </c>
      <c r="D12" s="349">
        <f>+ROUND(H12*I12,2)</f>
        <v>207.9</v>
      </c>
      <c r="E12" s="307">
        <f>APU!F26</f>
        <v>22775</v>
      </c>
      <c r="F12" s="308">
        <f>ROUND(E12*D12,)</f>
        <v>4734923</v>
      </c>
      <c r="G12" s="321"/>
      <c r="H12" s="321">
        <v>2079</v>
      </c>
      <c r="I12" s="342">
        <v>0.1</v>
      </c>
      <c r="J12" s="321"/>
      <c r="K12" s="321"/>
      <c r="L12" s="321"/>
      <c r="M12" s="321"/>
      <c r="N12" s="321"/>
      <c r="O12" s="321"/>
      <c r="P12" s="321"/>
      <c r="Q12" s="321"/>
    </row>
    <row r="13" spans="1:17" s="339" customFormat="1" ht="28.5" x14ac:dyDescent="0.25">
      <c r="A13" s="303">
        <v>2</v>
      </c>
      <c r="B13" s="336" t="s">
        <v>147</v>
      </c>
      <c r="C13" s="335" t="s">
        <v>26</v>
      </c>
      <c r="D13" s="349">
        <f>+ROUND(H12*I12,2)</f>
        <v>207.9</v>
      </c>
      <c r="E13" s="307">
        <f>APU!F53</f>
        <v>47165</v>
      </c>
      <c r="F13" s="308">
        <f t="shared" ref="F13:F19" si="0">ROUND(E13*D13,)</f>
        <v>9805604</v>
      </c>
      <c r="G13" s="321"/>
      <c r="H13" s="321"/>
      <c r="I13" s="321"/>
      <c r="J13" s="321"/>
      <c r="K13" s="321"/>
      <c r="L13" s="321"/>
      <c r="M13" s="321"/>
      <c r="N13" s="321"/>
      <c r="O13" s="321"/>
      <c r="P13" s="321"/>
      <c r="Q13" s="321"/>
    </row>
    <row r="14" spans="1:17" s="339" customFormat="1" x14ac:dyDescent="0.25">
      <c r="A14" s="303">
        <v>4</v>
      </c>
      <c r="B14" s="336" t="s">
        <v>149</v>
      </c>
      <c r="C14" s="335" t="s">
        <v>26</v>
      </c>
      <c r="D14" s="349">
        <f>+ROUND(H12*I12,2)</f>
        <v>207.9</v>
      </c>
      <c r="E14" s="307">
        <f>APU!F105</f>
        <v>55259</v>
      </c>
      <c r="F14" s="308">
        <f t="shared" si="0"/>
        <v>11488346</v>
      </c>
      <c r="G14" s="321"/>
      <c r="H14" s="321"/>
      <c r="I14" s="321"/>
      <c r="J14" s="321"/>
      <c r="K14" s="321"/>
      <c r="L14" s="321"/>
      <c r="M14" s="321"/>
      <c r="N14" s="321"/>
      <c r="O14" s="321"/>
      <c r="P14" s="321"/>
      <c r="Q14" s="321"/>
    </row>
    <row r="15" spans="1:17" s="339" customFormat="1" x14ac:dyDescent="0.25">
      <c r="A15" s="303">
        <v>6</v>
      </c>
      <c r="B15" s="336" t="s">
        <v>57</v>
      </c>
      <c r="C15" s="335" t="s">
        <v>33</v>
      </c>
      <c r="D15" s="349">
        <f>+ROUND(H15,2)</f>
        <v>460</v>
      </c>
      <c r="E15" s="307">
        <f>APU!F155</f>
        <v>20436</v>
      </c>
      <c r="F15" s="308">
        <f t="shared" si="0"/>
        <v>9400560</v>
      </c>
      <c r="G15" s="321"/>
      <c r="H15" s="321">
        <f>90*4+25*4</f>
        <v>460</v>
      </c>
      <c r="I15" s="321"/>
      <c r="J15" s="321"/>
      <c r="K15" s="321"/>
      <c r="L15" s="321"/>
      <c r="M15" s="321"/>
      <c r="N15" s="321"/>
      <c r="O15" s="321"/>
      <c r="P15" s="321"/>
      <c r="Q15" s="321"/>
    </row>
    <row r="16" spans="1:17" s="339" customFormat="1" ht="15" x14ac:dyDescent="0.25">
      <c r="A16" s="303"/>
      <c r="B16" s="328" t="s">
        <v>58</v>
      </c>
      <c r="C16" s="335"/>
      <c r="D16" s="330"/>
      <c r="E16" s="307"/>
      <c r="F16" s="308"/>
      <c r="G16" s="321"/>
      <c r="H16" s="321"/>
      <c r="I16" s="321"/>
      <c r="J16" s="321"/>
      <c r="K16" s="321"/>
      <c r="L16" s="321"/>
      <c r="M16" s="321"/>
      <c r="N16" s="321"/>
      <c r="O16" s="321"/>
      <c r="P16" s="321"/>
      <c r="Q16" s="321"/>
    </row>
    <row r="17" spans="1:17" s="339" customFormat="1" ht="28.5" x14ac:dyDescent="0.25">
      <c r="A17" s="303">
        <v>3</v>
      </c>
      <c r="B17" s="336" t="s">
        <v>93</v>
      </c>
      <c r="C17" s="335" t="s">
        <v>26</v>
      </c>
      <c r="D17" s="349">
        <f>+ROUND(H17*I17,2)</f>
        <v>2995.5</v>
      </c>
      <c r="E17" s="307">
        <f>APU!F321</f>
        <v>30259</v>
      </c>
      <c r="F17" s="308">
        <f t="shared" si="0"/>
        <v>90640835</v>
      </c>
      <c r="G17" s="321"/>
      <c r="H17" s="321">
        <v>9985</v>
      </c>
      <c r="I17" s="342">
        <v>0.3</v>
      </c>
      <c r="J17" s="321"/>
      <c r="K17" s="321"/>
      <c r="L17" s="321"/>
      <c r="M17" s="321"/>
      <c r="N17" s="321"/>
      <c r="O17" s="321"/>
      <c r="P17" s="321"/>
      <c r="Q17" s="321"/>
    </row>
    <row r="18" spans="1:17" s="339" customFormat="1" ht="28.5" x14ac:dyDescent="0.25">
      <c r="A18" s="303">
        <v>4</v>
      </c>
      <c r="B18" s="336" t="s">
        <v>27</v>
      </c>
      <c r="C18" s="335" t="s">
        <v>26</v>
      </c>
      <c r="D18" s="349">
        <f>+ROUND(H18*I18,2)</f>
        <v>631.79999999999995</v>
      </c>
      <c r="E18" s="307">
        <f>APU!F350</f>
        <v>34715</v>
      </c>
      <c r="F18" s="308">
        <f t="shared" si="0"/>
        <v>21932937</v>
      </c>
      <c r="G18" s="321"/>
      <c r="H18" s="321">
        <v>4212</v>
      </c>
      <c r="I18" s="342">
        <v>0.15</v>
      </c>
      <c r="J18" s="321"/>
      <c r="K18" s="321"/>
      <c r="L18" s="321"/>
      <c r="M18" s="321"/>
      <c r="N18" s="321"/>
      <c r="O18" s="321"/>
      <c r="P18" s="321"/>
      <c r="Q18" s="321"/>
    </row>
    <row r="19" spans="1:17" s="339" customFormat="1" ht="29.25" thickBot="1" x14ac:dyDescent="0.3">
      <c r="A19" s="303">
        <v>5</v>
      </c>
      <c r="B19" s="336" t="s">
        <v>124</v>
      </c>
      <c r="C19" s="335" t="s">
        <v>26</v>
      </c>
      <c r="D19" s="349">
        <f>+ROUND(H19*(D17+D18),2)</f>
        <v>181.37</v>
      </c>
      <c r="E19" s="307">
        <f>APU!F400</f>
        <v>39003</v>
      </c>
      <c r="F19" s="308">
        <f t="shared" si="0"/>
        <v>7073974</v>
      </c>
      <c r="G19" s="321"/>
      <c r="H19" s="342">
        <v>0.05</v>
      </c>
      <c r="I19" s="321"/>
      <c r="J19" s="321"/>
      <c r="K19" s="321"/>
      <c r="L19" s="321"/>
      <c r="M19" s="321"/>
      <c r="N19" s="321"/>
      <c r="O19" s="321"/>
      <c r="P19" s="321"/>
      <c r="Q19" s="321"/>
    </row>
    <row r="20" spans="1:17" ht="15" x14ac:dyDescent="0.25">
      <c r="A20" s="386" t="s">
        <v>13</v>
      </c>
      <c r="B20" s="387"/>
      <c r="C20" s="387"/>
      <c r="D20" s="387"/>
      <c r="E20" s="387"/>
      <c r="F20" s="315">
        <f>+SUM(F12:F19)</f>
        <v>155077179</v>
      </c>
    </row>
    <row r="21" spans="1:17" ht="15" x14ac:dyDescent="0.25">
      <c r="A21" s="388" t="s">
        <v>1</v>
      </c>
      <c r="B21" s="389"/>
      <c r="C21" s="389"/>
      <c r="D21" s="389"/>
      <c r="E21" s="316">
        <v>0.2</v>
      </c>
      <c r="F21" s="317">
        <f>ROUND(F20*E21,0)</f>
        <v>31015436</v>
      </c>
    </row>
    <row r="22" spans="1:17" ht="15" x14ac:dyDescent="0.25">
      <c r="A22" s="388" t="s">
        <v>2</v>
      </c>
      <c r="B22" s="389"/>
      <c r="C22" s="389"/>
      <c r="D22" s="389"/>
      <c r="E22" s="316">
        <v>0.03</v>
      </c>
      <c r="F22" s="317">
        <f>ROUND(F20*E22,0)</f>
        <v>4652315</v>
      </c>
    </row>
    <row r="23" spans="1:17" ht="15" x14ac:dyDescent="0.25">
      <c r="A23" s="388" t="s">
        <v>3</v>
      </c>
      <c r="B23" s="389"/>
      <c r="C23" s="389"/>
      <c r="D23" s="389"/>
      <c r="E23" s="316">
        <v>0.05</v>
      </c>
      <c r="F23" s="317">
        <f>ROUND(F20*E23,0)</f>
        <v>7753859</v>
      </c>
    </row>
    <row r="24" spans="1:17" ht="15.75" thickBot="1" x14ac:dyDescent="0.3">
      <c r="A24" s="390" t="s">
        <v>4</v>
      </c>
      <c r="B24" s="391"/>
      <c r="C24" s="391"/>
      <c r="D24" s="391"/>
      <c r="E24" s="318">
        <v>0.19</v>
      </c>
      <c r="F24" s="319">
        <f>ROUND(F23*E24,0)</f>
        <v>1473233</v>
      </c>
    </row>
    <row r="25" spans="1:17" ht="15.75" thickBot="1" x14ac:dyDescent="0.3">
      <c r="A25" s="361" t="s">
        <v>14</v>
      </c>
      <c r="B25" s="362"/>
      <c r="C25" s="362"/>
      <c r="D25" s="362"/>
      <c r="E25" s="363"/>
      <c r="F25" s="320">
        <f>SUM(F20:F24)</f>
        <v>199972022</v>
      </c>
    </row>
    <row r="26" spans="1:17" x14ac:dyDescent="0.2">
      <c r="A26" s="364" t="s">
        <v>156</v>
      </c>
      <c r="B26" s="365"/>
      <c r="C26" s="365"/>
      <c r="D26" s="365"/>
      <c r="E26" s="365"/>
      <c r="F26" s="366"/>
      <c r="G26" s="341"/>
    </row>
    <row r="27" spans="1:17" x14ac:dyDescent="0.25">
      <c r="A27" s="367"/>
      <c r="B27" s="368"/>
      <c r="C27" s="368"/>
      <c r="D27" s="368"/>
      <c r="E27" s="368"/>
      <c r="F27" s="369"/>
    </row>
    <row r="28" spans="1:17" ht="15" thickBot="1" x14ac:dyDescent="0.3">
      <c r="A28" s="370"/>
      <c r="B28" s="371"/>
      <c r="C28" s="371"/>
      <c r="D28" s="371"/>
      <c r="E28" s="371"/>
      <c r="F28" s="372"/>
    </row>
  </sheetData>
  <mergeCells count="10">
    <mergeCell ref="A22:D22"/>
    <mergeCell ref="A23:D23"/>
    <mergeCell ref="A24:D24"/>
    <mergeCell ref="A25:E25"/>
    <mergeCell ref="A26:F28"/>
    <mergeCell ref="A1:F2"/>
    <mergeCell ref="A3:F4"/>
    <mergeCell ref="A5:F7"/>
    <mergeCell ref="A20:E20"/>
    <mergeCell ref="A21:D21"/>
  </mergeCells>
  <pageMargins left="0.70866141732283472" right="0.70866141732283472" top="0.74803149606299213" bottom="0.74803149606299213" header="0.31496062992125984" footer="0.31496062992125984"/>
  <pageSetup scale="70" fitToHeight="0" orientation="portrait" horizont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5F934-7E20-4707-BAF0-9353F61C566B}">
  <sheetPr>
    <tabColor rgb="FF99FF99"/>
    <pageSetUpPr fitToPage="1"/>
  </sheetPr>
  <dimension ref="A1:AD30"/>
  <sheetViews>
    <sheetView view="pageBreakPreview" topLeftCell="A4" zoomScale="89" zoomScaleNormal="89" zoomScaleSheetLayoutView="89" workbookViewId="0">
      <selection activeCell="G4" sqref="G1:XFD1048576"/>
    </sheetView>
  </sheetViews>
  <sheetFormatPr baseColWidth="10" defaultColWidth="0" defaultRowHeight="14.25" x14ac:dyDescent="0.25"/>
  <cols>
    <col min="1" max="1" width="6.28515625" style="322" bestFit="1" customWidth="1"/>
    <col min="2" max="2" width="70.7109375" style="322" bestFit="1" customWidth="1"/>
    <col min="3" max="3" width="8.140625" style="322" bestFit="1" customWidth="1"/>
    <col min="4" max="4" width="10.42578125" style="325" bestFit="1" customWidth="1"/>
    <col min="5" max="5" width="15.5703125" style="326" bestFit="1" customWidth="1"/>
    <col min="6" max="6" width="17.85546875" style="327" bestFit="1" customWidth="1"/>
    <col min="7" max="7" width="6.140625" style="321" hidden="1" customWidth="1"/>
    <col min="8" max="8" width="11.5703125" style="321" hidden="1" customWidth="1"/>
    <col min="9" max="9" width="5.28515625" style="321" hidden="1" customWidth="1"/>
    <col min="10" max="11" width="16.7109375" style="321" hidden="1" customWidth="1"/>
    <col min="12" max="14" width="10.42578125" style="321" hidden="1" customWidth="1"/>
    <col min="15" max="30" width="0" style="321" hidden="1" customWidth="1"/>
    <col min="31" max="16384" width="6.7109375" style="322" hidden="1"/>
  </cols>
  <sheetData>
    <row r="1" spans="1:30" x14ac:dyDescent="0.25">
      <c r="A1" s="377" t="s">
        <v>146</v>
      </c>
      <c r="B1" s="378"/>
      <c r="C1" s="378"/>
      <c r="D1" s="378"/>
      <c r="E1" s="378"/>
      <c r="F1" s="379"/>
    </row>
    <row r="2" spans="1:30" x14ac:dyDescent="0.25">
      <c r="A2" s="380"/>
      <c r="B2" s="381"/>
      <c r="C2" s="381"/>
      <c r="D2" s="381"/>
      <c r="E2" s="381"/>
      <c r="F2" s="382"/>
    </row>
    <row r="3" spans="1:30" x14ac:dyDescent="0.25">
      <c r="A3" s="383" t="s">
        <v>5</v>
      </c>
      <c r="B3" s="384"/>
      <c r="C3" s="384"/>
      <c r="D3" s="384"/>
      <c r="E3" s="384"/>
      <c r="F3" s="385"/>
    </row>
    <row r="4" spans="1:30" x14ac:dyDescent="0.25">
      <c r="A4" s="383"/>
      <c r="B4" s="384"/>
      <c r="C4" s="384"/>
      <c r="D4" s="384"/>
      <c r="E4" s="384"/>
      <c r="F4" s="385"/>
    </row>
    <row r="5" spans="1:30" x14ac:dyDescent="0.25">
      <c r="A5" s="374" t="s">
        <v>145</v>
      </c>
      <c r="B5" s="375"/>
      <c r="C5" s="375"/>
      <c r="D5" s="375"/>
      <c r="E5" s="375"/>
      <c r="F5" s="376"/>
    </row>
    <row r="6" spans="1:30" x14ac:dyDescent="0.25">
      <c r="A6" s="374"/>
      <c r="B6" s="375"/>
      <c r="C6" s="375"/>
      <c r="D6" s="375"/>
      <c r="E6" s="375"/>
      <c r="F6" s="376"/>
    </row>
    <row r="7" spans="1:30" ht="15" thickBot="1" x14ac:dyDescent="0.3">
      <c r="A7" s="374"/>
      <c r="B7" s="375"/>
      <c r="C7" s="375"/>
      <c r="D7" s="375"/>
      <c r="E7" s="375"/>
      <c r="F7" s="376"/>
    </row>
    <row r="8" spans="1:30" ht="15.75" thickBot="1" x14ac:dyDescent="0.3">
      <c r="A8" s="286" t="s">
        <v>9</v>
      </c>
      <c r="B8" s="287" t="s">
        <v>10</v>
      </c>
      <c r="C8" s="287" t="s">
        <v>0</v>
      </c>
      <c r="D8" s="288" t="s">
        <v>6</v>
      </c>
      <c r="E8" s="289" t="s">
        <v>7</v>
      </c>
      <c r="F8" s="290" t="s">
        <v>8</v>
      </c>
    </row>
    <row r="9" spans="1:30" ht="15" x14ac:dyDescent="0.25">
      <c r="A9" s="291" t="s">
        <v>12</v>
      </c>
      <c r="B9" s="292" t="s">
        <v>11</v>
      </c>
      <c r="C9" s="293"/>
      <c r="D9" s="294"/>
      <c r="E9" s="295"/>
      <c r="F9" s="296"/>
    </row>
    <row r="10" spans="1:30" s="324" customFormat="1" ht="30" x14ac:dyDescent="0.25">
      <c r="A10" s="297" t="s">
        <v>133</v>
      </c>
      <c r="B10" s="298" t="s">
        <v>258</v>
      </c>
      <c r="C10" s="299"/>
      <c r="D10" s="300"/>
      <c r="E10" s="301"/>
      <c r="F10" s="302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38"/>
      <c r="R10" s="321"/>
      <c r="S10" s="339"/>
      <c r="T10" s="339"/>
      <c r="U10" s="339"/>
      <c r="V10" s="339"/>
      <c r="W10" s="339"/>
      <c r="X10" s="339"/>
      <c r="Y10" s="339"/>
      <c r="Z10" s="339"/>
      <c r="AA10" s="339"/>
      <c r="AB10" s="339"/>
      <c r="AC10" s="339"/>
      <c r="AD10" s="339"/>
    </row>
    <row r="11" spans="1:30" s="324" customFormat="1" ht="15" x14ac:dyDescent="0.25">
      <c r="A11" s="303"/>
      <c r="B11" s="304" t="s">
        <v>55</v>
      </c>
      <c r="C11" s="305"/>
      <c r="D11" s="306"/>
      <c r="E11" s="307"/>
      <c r="F11" s="308"/>
      <c r="G11" s="321"/>
      <c r="H11" s="321"/>
      <c r="I11" s="321"/>
      <c r="J11" s="321"/>
      <c r="K11" s="321"/>
      <c r="L11" s="321"/>
      <c r="M11" s="321"/>
      <c r="N11" s="321"/>
      <c r="O11" s="321"/>
      <c r="P11" s="321"/>
      <c r="Q11" s="340"/>
      <c r="R11" s="321"/>
      <c r="S11" s="339"/>
      <c r="T11" s="339"/>
      <c r="U11" s="339"/>
      <c r="V11" s="339"/>
      <c r="W11" s="339"/>
      <c r="X11" s="339"/>
      <c r="Y11" s="339"/>
      <c r="Z11" s="339"/>
      <c r="AA11" s="339"/>
      <c r="AB11" s="339"/>
      <c r="AC11" s="339"/>
      <c r="AD11" s="339"/>
    </row>
    <row r="12" spans="1:30" s="324" customFormat="1" ht="28.5" x14ac:dyDescent="0.25">
      <c r="A12" s="303">
        <v>1</v>
      </c>
      <c r="B12" s="336" t="s">
        <v>56</v>
      </c>
      <c r="C12" s="335" t="s">
        <v>26</v>
      </c>
      <c r="D12" s="349">
        <f>+ROUND(H12*I12,2)</f>
        <v>357</v>
      </c>
      <c r="E12" s="307">
        <f>APU!F26</f>
        <v>22775</v>
      </c>
      <c r="F12" s="308">
        <f>ROUND(E12*D12,)</f>
        <v>8130675</v>
      </c>
      <c r="G12" s="321"/>
      <c r="H12" s="321">
        <v>3570</v>
      </c>
      <c r="I12" s="342">
        <v>0.1</v>
      </c>
      <c r="J12" s="321"/>
      <c r="K12" s="321"/>
      <c r="L12" s="321"/>
      <c r="M12" s="321"/>
      <c r="N12" s="321"/>
      <c r="O12" s="321"/>
      <c r="P12" s="321"/>
      <c r="Q12" s="321"/>
      <c r="R12" s="321"/>
      <c r="S12" s="339"/>
      <c r="T12" s="339"/>
      <c r="U12" s="339"/>
      <c r="V12" s="339"/>
      <c r="W12" s="339"/>
      <c r="X12" s="339"/>
      <c r="Y12" s="339"/>
      <c r="Z12" s="339"/>
      <c r="AA12" s="339"/>
      <c r="AB12" s="339"/>
      <c r="AC12" s="339"/>
      <c r="AD12" s="339"/>
    </row>
    <row r="13" spans="1:30" s="324" customFormat="1" ht="28.5" x14ac:dyDescent="0.25">
      <c r="A13" s="303">
        <v>2</v>
      </c>
      <c r="B13" s="336" t="s">
        <v>147</v>
      </c>
      <c r="C13" s="335" t="s">
        <v>26</v>
      </c>
      <c r="D13" s="349">
        <f>+ROUND(H12*I12,2)</f>
        <v>357</v>
      </c>
      <c r="E13" s="307">
        <f>APU!F53</f>
        <v>47165</v>
      </c>
      <c r="F13" s="308">
        <f t="shared" ref="F13:F21" si="0">ROUND(E13*D13,)</f>
        <v>16837905</v>
      </c>
      <c r="G13" s="321"/>
      <c r="H13" s="321"/>
      <c r="I13" s="321"/>
      <c r="J13" s="321"/>
      <c r="K13" s="321"/>
      <c r="L13" s="321"/>
      <c r="M13" s="321"/>
      <c r="N13" s="321"/>
      <c r="O13" s="321"/>
      <c r="P13" s="321"/>
      <c r="Q13" s="321"/>
      <c r="R13" s="321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</row>
    <row r="14" spans="1:30" s="324" customFormat="1" x14ac:dyDescent="0.25">
      <c r="A14" s="303">
        <v>4</v>
      </c>
      <c r="B14" s="336" t="s">
        <v>149</v>
      </c>
      <c r="C14" s="335" t="s">
        <v>26</v>
      </c>
      <c r="D14" s="349">
        <f>+ROUND(H12*I12,2)</f>
        <v>357</v>
      </c>
      <c r="E14" s="307">
        <f>APU!F105</f>
        <v>55259</v>
      </c>
      <c r="F14" s="308">
        <f t="shared" si="0"/>
        <v>19727463</v>
      </c>
      <c r="G14" s="321"/>
      <c r="H14" s="321"/>
      <c r="I14" s="321"/>
      <c r="J14" s="321"/>
      <c r="K14" s="321"/>
      <c r="L14" s="321"/>
      <c r="M14" s="321"/>
      <c r="N14" s="321"/>
      <c r="O14" s="321"/>
      <c r="P14" s="321"/>
      <c r="Q14" s="321"/>
      <c r="R14" s="321"/>
      <c r="S14" s="339"/>
      <c r="T14" s="339"/>
      <c r="U14" s="339"/>
      <c r="V14" s="339"/>
      <c r="W14" s="339"/>
      <c r="X14" s="339"/>
      <c r="Y14" s="339"/>
      <c r="Z14" s="339"/>
      <c r="AA14" s="339"/>
      <c r="AB14" s="339"/>
      <c r="AC14" s="339"/>
      <c r="AD14" s="339"/>
    </row>
    <row r="15" spans="1:30" s="324" customFormat="1" x14ac:dyDescent="0.25">
      <c r="A15" s="303">
        <v>6</v>
      </c>
      <c r="B15" s="336" t="s">
        <v>57</v>
      </c>
      <c r="C15" s="335" t="s">
        <v>33</v>
      </c>
      <c r="D15" s="349">
        <f>+ROUND(H15,2)</f>
        <v>449</v>
      </c>
      <c r="E15" s="307">
        <f>APU!F155</f>
        <v>20436</v>
      </c>
      <c r="F15" s="308">
        <f t="shared" si="0"/>
        <v>9175764</v>
      </c>
      <c r="G15" s="321"/>
      <c r="H15" s="321">
        <f>70*3.5+51*4</f>
        <v>449</v>
      </c>
      <c r="I15" s="321"/>
      <c r="J15" s="321"/>
      <c r="K15" s="321"/>
      <c r="L15" s="321"/>
      <c r="M15" s="321"/>
      <c r="N15" s="321"/>
      <c r="O15" s="321"/>
      <c r="P15" s="321"/>
      <c r="Q15" s="321"/>
      <c r="R15" s="321"/>
      <c r="S15" s="339"/>
      <c r="T15" s="339"/>
      <c r="U15" s="339"/>
      <c r="V15" s="339"/>
      <c r="W15" s="339"/>
      <c r="X15" s="339"/>
      <c r="Y15" s="339"/>
      <c r="Z15" s="339"/>
      <c r="AA15" s="339"/>
      <c r="AB15" s="339"/>
      <c r="AC15" s="339"/>
      <c r="AD15" s="339"/>
    </row>
    <row r="16" spans="1:30" s="324" customFormat="1" ht="28.5" x14ac:dyDescent="0.25">
      <c r="A16" s="303">
        <v>8</v>
      </c>
      <c r="B16" s="336" t="s">
        <v>150</v>
      </c>
      <c r="C16" s="335" t="s">
        <v>26</v>
      </c>
      <c r="D16" s="349">
        <f>+ROUND(H12*H16,2)</f>
        <v>357</v>
      </c>
      <c r="E16" s="307">
        <f>APU!F220</f>
        <v>98520</v>
      </c>
      <c r="F16" s="308">
        <f t="shared" si="0"/>
        <v>35171640</v>
      </c>
      <c r="G16" s="321"/>
      <c r="H16" s="342">
        <v>0.1</v>
      </c>
      <c r="I16" s="321"/>
      <c r="J16" s="321"/>
      <c r="K16" s="321"/>
      <c r="L16" s="321"/>
      <c r="M16" s="321"/>
      <c r="N16" s="321"/>
      <c r="O16" s="321"/>
      <c r="P16" s="321"/>
      <c r="Q16" s="321"/>
      <c r="R16" s="321"/>
      <c r="S16" s="339"/>
      <c r="T16" s="339"/>
      <c r="U16" s="339"/>
      <c r="V16" s="339"/>
      <c r="W16" s="339"/>
      <c r="X16" s="339"/>
      <c r="Y16" s="339"/>
      <c r="Z16" s="339"/>
      <c r="AA16" s="339"/>
      <c r="AB16" s="339"/>
      <c r="AC16" s="339"/>
      <c r="AD16" s="339"/>
    </row>
    <row r="17" spans="1:30" s="324" customFormat="1" ht="15" x14ac:dyDescent="0.25">
      <c r="A17" s="303"/>
      <c r="B17" s="328" t="s">
        <v>58</v>
      </c>
      <c r="C17" s="335"/>
      <c r="D17" s="330"/>
      <c r="E17" s="307"/>
      <c r="F17" s="308"/>
      <c r="G17" s="321"/>
      <c r="H17" s="321"/>
      <c r="I17" s="321"/>
      <c r="J17" s="321"/>
      <c r="K17" s="321"/>
      <c r="L17" s="321"/>
      <c r="M17" s="321"/>
      <c r="N17" s="321"/>
      <c r="O17" s="321"/>
      <c r="P17" s="321"/>
      <c r="Q17" s="321"/>
      <c r="R17" s="321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39"/>
      <c r="AD17" s="339"/>
    </row>
    <row r="18" spans="1:30" s="324" customFormat="1" ht="28.5" x14ac:dyDescent="0.25">
      <c r="A18" s="303">
        <v>3</v>
      </c>
      <c r="B18" s="336" t="s">
        <v>93</v>
      </c>
      <c r="C18" s="335" t="s">
        <v>26</v>
      </c>
      <c r="D18" s="349">
        <f>+ROUND(H18*I18,2)</f>
        <v>3629.4</v>
      </c>
      <c r="E18" s="307">
        <f>APU!F321</f>
        <v>30259</v>
      </c>
      <c r="F18" s="308">
        <f t="shared" si="0"/>
        <v>109822015</v>
      </c>
      <c r="G18" s="321"/>
      <c r="H18" s="321">
        <v>12098</v>
      </c>
      <c r="I18" s="342">
        <v>0.3</v>
      </c>
      <c r="J18" s="321"/>
      <c r="K18" s="321"/>
      <c r="L18" s="321"/>
      <c r="M18" s="321"/>
      <c r="N18" s="321"/>
      <c r="O18" s="321"/>
      <c r="P18" s="321"/>
      <c r="Q18" s="321"/>
      <c r="R18" s="321"/>
      <c r="S18" s="339"/>
      <c r="T18" s="339"/>
      <c r="U18" s="339"/>
      <c r="V18" s="339"/>
      <c r="W18" s="339"/>
      <c r="X18" s="339"/>
      <c r="Y18" s="339"/>
      <c r="Z18" s="339"/>
      <c r="AA18" s="339"/>
      <c r="AB18" s="339"/>
      <c r="AC18" s="339"/>
      <c r="AD18" s="339"/>
    </row>
    <row r="19" spans="1:30" s="324" customFormat="1" ht="28.5" x14ac:dyDescent="0.25">
      <c r="A19" s="303">
        <v>4</v>
      </c>
      <c r="B19" s="336" t="s">
        <v>27</v>
      </c>
      <c r="C19" s="335" t="s">
        <v>26</v>
      </c>
      <c r="D19" s="349">
        <f>+ROUND(H19*I19,2)</f>
        <v>330.56</v>
      </c>
      <c r="E19" s="307">
        <f>APU!F350</f>
        <v>34715</v>
      </c>
      <c r="F19" s="308">
        <f t="shared" si="0"/>
        <v>11475390</v>
      </c>
      <c r="G19" s="321"/>
      <c r="H19" s="321">
        <v>4132</v>
      </c>
      <c r="I19" s="342">
        <v>0.08</v>
      </c>
      <c r="J19" s="321"/>
      <c r="K19" s="321"/>
      <c r="L19" s="321"/>
      <c r="M19" s="321"/>
      <c r="N19" s="321"/>
      <c r="O19" s="321"/>
      <c r="P19" s="321"/>
      <c r="Q19" s="321"/>
      <c r="R19" s="321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39"/>
      <c r="AD19" s="339"/>
    </row>
    <row r="20" spans="1:30" s="324" customFormat="1" ht="28.5" x14ac:dyDescent="0.25">
      <c r="A20" s="303">
        <v>5</v>
      </c>
      <c r="B20" s="336" t="s">
        <v>124</v>
      </c>
      <c r="C20" s="335" t="s">
        <v>26</v>
      </c>
      <c r="D20" s="349">
        <f>+ROUND(H20*(D18+D19),2)</f>
        <v>198</v>
      </c>
      <c r="E20" s="307">
        <f>APU!F400</f>
        <v>39003</v>
      </c>
      <c r="F20" s="308">
        <f t="shared" si="0"/>
        <v>7722594</v>
      </c>
      <c r="G20" s="321"/>
      <c r="H20" s="342">
        <v>0.05</v>
      </c>
      <c r="I20" s="321"/>
      <c r="J20" s="321"/>
      <c r="K20" s="321"/>
      <c r="L20" s="321"/>
      <c r="M20" s="321"/>
      <c r="N20" s="321"/>
      <c r="O20" s="321"/>
      <c r="P20" s="321"/>
      <c r="Q20" s="321"/>
      <c r="R20" s="321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39"/>
      <c r="AD20" s="339"/>
    </row>
    <row r="21" spans="1:30" s="324" customFormat="1" ht="29.25" thickBot="1" x14ac:dyDescent="0.3">
      <c r="A21" s="303">
        <v>16</v>
      </c>
      <c r="B21" s="336" t="s">
        <v>165</v>
      </c>
      <c r="C21" s="335" t="s">
        <v>26</v>
      </c>
      <c r="D21" s="349">
        <f>+ROUND(H12*H21,2)</f>
        <v>178.5</v>
      </c>
      <c r="E21" s="307">
        <f>APU!F823</f>
        <v>66323</v>
      </c>
      <c r="F21" s="308">
        <f t="shared" si="0"/>
        <v>11838656</v>
      </c>
      <c r="G21" s="321"/>
      <c r="H21" s="342">
        <v>0.05</v>
      </c>
      <c r="I21" s="321"/>
      <c r="J21" s="321"/>
      <c r="K21" s="321"/>
      <c r="L21" s="321"/>
      <c r="M21" s="321"/>
      <c r="N21" s="321"/>
      <c r="O21" s="321"/>
      <c r="P21" s="321"/>
      <c r="Q21" s="321"/>
      <c r="R21" s="321"/>
      <c r="S21" s="339"/>
      <c r="T21" s="339"/>
      <c r="U21" s="339"/>
      <c r="V21" s="339"/>
      <c r="W21" s="339"/>
      <c r="X21" s="339"/>
      <c r="Y21" s="339"/>
      <c r="Z21" s="339"/>
      <c r="AA21" s="339"/>
      <c r="AB21" s="339"/>
      <c r="AC21" s="339"/>
      <c r="AD21" s="339"/>
    </row>
    <row r="22" spans="1:30" ht="15" x14ac:dyDescent="0.25">
      <c r="A22" s="386" t="s">
        <v>13</v>
      </c>
      <c r="B22" s="387"/>
      <c r="C22" s="387"/>
      <c r="D22" s="387"/>
      <c r="E22" s="387"/>
      <c r="F22" s="315">
        <f>+SUM(F12:F21)</f>
        <v>229902102</v>
      </c>
    </row>
    <row r="23" spans="1:30" ht="15" x14ac:dyDescent="0.25">
      <c r="A23" s="388" t="s">
        <v>1</v>
      </c>
      <c r="B23" s="389"/>
      <c r="C23" s="389"/>
      <c r="D23" s="389"/>
      <c r="E23" s="316">
        <v>0.2</v>
      </c>
      <c r="F23" s="317">
        <f>ROUND(F22*E23,0)</f>
        <v>45980420</v>
      </c>
    </row>
    <row r="24" spans="1:30" ht="15" x14ac:dyDescent="0.25">
      <c r="A24" s="388" t="s">
        <v>2</v>
      </c>
      <c r="B24" s="389"/>
      <c r="C24" s="389"/>
      <c r="D24" s="389"/>
      <c r="E24" s="316">
        <v>0.03</v>
      </c>
      <c r="F24" s="317">
        <f>ROUND(F22*E24,0)</f>
        <v>6897063</v>
      </c>
    </row>
    <row r="25" spans="1:30" ht="15" x14ac:dyDescent="0.25">
      <c r="A25" s="388" t="s">
        <v>3</v>
      </c>
      <c r="B25" s="389"/>
      <c r="C25" s="389"/>
      <c r="D25" s="389"/>
      <c r="E25" s="316">
        <v>0.05</v>
      </c>
      <c r="F25" s="317">
        <f>ROUND(F22*E25,0)</f>
        <v>11495105</v>
      </c>
    </row>
    <row r="26" spans="1:30" ht="15.75" thickBot="1" x14ac:dyDescent="0.3">
      <c r="A26" s="390" t="s">
        <v>4</v>
      </c>
      <c r="B26" s="391"/>
      <c r="C26" s="391"/>
      <c r="D26" s="391"/>
      <c r="E26" s="318">
        <v>0.19</v>
      </c>
      <c r="F26" s="319">
        <f>ROUND(F25*E26,0)</f>
        <v>2184070</v>
      </c>
    </row>
    <row r="27" spans="1:30" ht="15.75" thickBot="1" x14ac:dyDescent="0.3">
      <c r="A27" s="361" t="s">
        <v>14</v>
      </c>
      <c r="B27" s="362"/>
      <c r="C27" s="362"/>
      <c r="D27" s="362"/>
      <c r="E27" s="363"/>
      <c r="F27" s="320">
        <f>SUM(F22:F26)</f>
        <v>296458760</v>
      </c>
    </row>
    <row r="28" spans="1:30" s="321" customFormat="1" x14ac:dyDescent="0.2">
      <c r="A28" s="364" t="s">
        <v>156</v>
      </c>
      <c r="B28" s="365"/>
      <c r="C28" s="365"/>
      <c r="D28" s="365"/>
      <c r="E28" s="365"/>
      <c r="F28" s="366"/>
      <c r="G28" s="341"/>
    </row>
    <row r="29" spans="1:30" s="321" customFormat="1" x14ac:dyDescent="0.25">
      <c r="A29" s="367"/>
      <c r="B29" s="368"/>
      <c r="C29" s="368"/>
      <c r="D29" s="368"/>
      <c r="E29" s="368"/>
      <c r="F29" s="369"/>
    </row>
    <row r="30" spans="1:30" s="321" customFormat="1" ht="15" thickBot="1" x14ac:dyDescent="0.3">
      <c r="A30" s="370"/>
      <c r="B30" s="371"/>
      <c r="C30" s="371"/>
      <c r="D30" s="371"/>
      <c r="E30" s="371"/>
      <c r="F30" s="372"/>
    </row>
  </sheetData>
  <mergeCells count="10">
    <mergeCell ref="A24:D24"/>
    <mergeCell ref="A25:D25"/>
    <mergeCell ref="A26:D26"/>
    <mergeCell ref="A27:E27"/>
    <mergeCell ref="A28:F30"/>
    <mergeCell ref="A1:F2"/>
    <mergeCell ref="A3:F4"/>
    <mergeCell ref="A5:F7"/>
    <mergeCell ref="A22:E22"/>
    <mergeCell ref="A23:D23"/>
  </mergeCells>
  <pageMargins left="0.70866141732283472" right="0.70866141732283472" top="0.74803149606299213" bottom="0.74803149606299213" header="0.31496062992125984" footer="0.31496062992125984"/>
  <pageSetup scale="70" fitToHeight="0" orientation="portrait" horizont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909AE-1385-4350-A8A5-6D3DCA0C5EFE}">
  <sheetPr>
    <tabColor theme="9"/>
    <pageSetUpPr fitToPage="1"/>
  </sheetPr>
  <dimension ref="A1:U30"/>
  <sheetViews>
    <sheetView view="pageBreakPreview" topLeftCell="A19" zoomScale="89" zoomScaleNormal="89" zoomScaleSheetLayoutView="89" workbookViewId="0">
      <selection activeCell="C47" sqref="C47"/>
    </sheetView>
  </sheetViews>
  <sheetFormatPr baseColWidth="10" defaultColWidth="0" defaultRowHeight="14.25" x14ac:dyDescent="0.25"/>
  <cols>
    <col min="1" max="1" width="6.28515625" style="322" bestFit="1" customWidth="1"/>
    <col min="2" max="2" width="70.7109375" style="322" bestFit="1" customWidth="1"/>
    <col min="3" max="3" width="8.140625" style="322" bestFit="1" customWidth="1"/>
    <col min="4" max="4" width="11.5703125" style="325" bestFit="1" customWidth="1"/>
    <col min="5" max="5" width="15.5703125" style="326" bestFit="1" customWidth="1"/>
    <col min="6" max="6" width="19.7109375" style="327" bestFit="1" customWidth="1"/>
    <col min="7" max="7" width="6.7109375" style="321" hidden="1" customWidth="1"/>
    <col min="8" max="8" width="8.7109375" style="321" hidden="1" customWidth="1"/>
    <col min="9" max="14" width="6.7109375" style="321" hidden="1" customWidth="1"/>
    <col min="15" max="21" width="0" style="321" hidden="1" customWidth="1"/>
    <col min="22" max="16384" width="6.7109375" style="322" hidden="1"/>
  </cols>
  <sheetData>
    <row r="1" spans="1:21" x14ac:dyDescent="0.25">
      <c r="A1" s="377" t="s">
        <v>146</v>
      </c>
      <c r="B1" s="378"/>
      <c r="C1" s="378"/>
      <c r="D1" s="378"/>
      <c r="E1" s="378"/>
      <c r="F1" s="379"/>
    </row>
    <row r="2" spans="1:21" x14ac:dyDescent="0.25">
      <c r="A2" s="380"/>
      <c r="B2" s="381"/>
      <c r="C2" s="381"/>
      <c r="D2" s="381"/>
      <c r="E2" s="381"/>
      <c r="F2" s="382"/>
    </row>
    <row r="3" spans="1:21" x14ac:dyDescent="0.25">
      <c r="A3" s="383" t="s">
        <v>5</v>
      </c>
      <c r="B3" s="384"/>
      <c r="C3" s="384"/>
      <c r="D3" s="384"/>
      <c r="E3" s="384"/>
      <c r="F3" s="385"/>
    </row>
    <row r="4" spans="1:21" x14ac:dyDescent="0.25">
      <c r="A4" s="383"/>
      <c r="B4" s="384"/>
      <c r="C4" s="384"/>
      <c r="D4" s="384"/>
      <c r="E4" s="384"/>
      <c r="F4" s="385"/>
    </row>
    <row r="5" spans="1:21" x14ac:dyDescent="0.25">
      <c r="A5" s="374" t="s">
        <v>145</v>
      </c>
      <c r="B5" s="375"/>
      <c r="C5" s="375"/>
      <c r="D5" s="375"/>
      <c r="E5" s="375"/>
      <c r="F5" s="376"/>
    </row>
    <row r="6" spans="1:21" x14ac:dyDescent="0.25">
      <c r="A6" s="374"/>
      <c r="B6" s="375"/>
      <c r="C6" s="375"/>
      <c r="D6" s="375"/>
      <c r="E6" s="375"/>
      <c r="F6" s="376"/>
    </row>
    <row r="7" spans="1:21" ht="15" thickBot="1" x14ac:dyDescent="0.3">
      <c r="A7" s="374"/>
      <c r="B7" s="375"/>
      <c r="C7" s="375"/>
      <c r="D7" s="375"/>
      <c r="E7" s="375"/>
      <c r="F7" s="376"/>
    </row>
    <row r="8" spans="1:21" ht="15.75" thickBot="1" x14ac:dyDescent="0.3">
      <c r="A8" s="286" t="s">
        <v>9</v>
      </c>
      <c r="B8" s="287" t="s">
        <v>10</v>
      </c>
      <c r="C8" s="287" t="s">
        <v>0</v>
      </c>
      <c r="D8" s="288" t="s">
        <v>6</v>
      </c>
      <c r="E8" s="289" t="s">
        <v>7</v>
      </c>
      <c r="F8" s="290" t="s">
        <v>8</v>
      </c>
    </row>
    <row r="9" spans="1:21" ht="15" x14ac:dyDescent="0.25">
      <c r="A9" s="291" t="s">
        <v>12</v>
      </c>
      <c r="B9" s="292" t="s">
        <v>11</v>
      </c>
      <c r="C9" s="293"/>
      <c r="D9" s="294"/>
      <c r="E9" s="295"/>
      <c r="F9" s="296"/>
    </row>
    <row r="10" spans="1:21" s="324" customFormat="1" ht="30" x14ac:dyDescent="0.25">
      <c r="A10" s="297" t="s">
        <v>133</v>
      </c>
      <c r="B10" s="298" t="s">
        <v>259</v>
      </c>
      <c r="C10" s="299"/>
      <c r="D10" s="300"/>
      <c r="E10" s="301"/>
      <c r="F10" s="302"/>
      <c r="G10" s="321"/>
      <c r="H10" s="338"/>
      <c r="I10" s="321"/>
      <c r="J10" s="339"/>
      <c r="K10" s="339"/>
      <c r="L10" s="339"/>
      <c r="M10" s="339"/>
      <c r="N10" s="339"/>
      <c r="O10" s="339"/>
      <c r="P10" s="339"/>
      <c r="Q10" s="339"/>
      <c r="R10" s="339"/>
      <c r="S10" s="339"/>
      <c r="T10" s="339"/>
      <c r="U10" s="339"/>
    </row>
    <row r="11" spans="1:21" s="324" customFormat="1" ht="15" x14ac:dyDescent="0.25">
      <c r="A11" s="303"/>
      <c r="B11" s="304" t="s">
        <v>55</v>
      </c>
      <c r="C11" s="305"/>
      <c r="D11" s="306"/>
      <c r="E11" s="307"/>
      <c r="F11" s="308"/>
      <c r="G11" s="321"/>
      <c r="H11" s="340"/>
      <c r="I11" s="321"/>
      <c r="J11" s="339"/>
      <c r="K11" s="339"/>
      <c r="L11" s="339"/>
      <c r="M11" s="339"/>
      <c r="N11" s="339"/>
      <c r="O11" s="339"/>
      <c r="P11" s="339"/>
      <c r="Q11" s="339"/>
      <c r="R11" s="339"/>
      <c r="S11" s="339"/>
      <c r="T11" s="339"/>
      <c r="U11" s="339"/>
    </row>
    <row r="12" spans="1:21" s="324" customFormat="1" ht="28.5" x14ac:dyDescent="0.25">
      <c r="A12" s="303">
        <v>1</v>
      </c>
      <c r="B12" s="336" t="s">
        <v>56</v>
      </c>
      <c r="C12" s="335" t="s">
        <v>26</v>
      </c>
      <c r="D12" s="349">
        <f>+ROUND(H12*I12,2)</f>
        <v>91.4</v>
      </c>
      <c r="E12" s="307">
        <f>APU!F26</f>
        <v>22775</v>
      </c>
      <c r="F12" s="308">
        <f>ROUND(E12*D12,)</f>
        <v>2081635</v>
      </c>
      <c r="G12" s="321"/>
      <c r="H12" s="321">
        <v>457</v>
      </c>
      <c r="I12" s="342">
        <v>0.2</v>
      </c>
      <c r="J12" s="339"/>
      <c r="K12" s="339"/>
      <c r="L12" s="339"/>
      <c r="M12" s="339"/>
      <c r="N12" s="339"/>
      <c r="O12" s="339"/>
      <c r="P12" s="339"/>
      <c r="Q12" s="339"/>
      <c r="R12" s="339"/>
      <c r="S12" s="339"/>
      <c r="T12" s="339"/>
      <c r="U12" s="339"/>
    </row>
    <row r="13" spans="1:21" s="324" customFormat="1" ht="28.5" x14ac:dyDescent="0.25">
      <c r="A13" s="303">
        <v>2</v>
      </c>
      <c r="B13" s="336" t="s">
        <v>147</v>
      </c>
      <c r="C13" s="335" t="s">
        <v>26</v>
      </c>
      <c r="D13" s="349">
        <f>+ROUND(H12*I12,2)</f>
        <v>91.4</v>
      </c>
      <c r="E13" s="307">
        <f>APU!F53</f>
        <v>47165</v>
      </c>
      <c r="F13" s="308">
        <f t="shared" ref="F13:F21" si="0">ROUND(E13*D13,)</f>
        <v>4310881</v>
      </c>
      <c r="G13" s="321"/>
      <c r="H13" s="321"/>
      <c r="I13" s="321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</row>
    <row r="14" spans="1:21" s="324" customFormat="1" x14ac:dyDescent="0.25">
      <c r="A14" s="303">
        <v>4</v>
      </c>
      <c r="B14" s="336" t="s">
        <v>149</v>
      </c>
      <c r="C14" s="335" t="s">
        <v>26</v>
      </c>
      <c r="D14" s="349">
        <f>+ROUND(H12*I12,2)</f>
        <v>91.4</v>
      </c>
      <c r="E14" s="307">
        <f>APU!F105</f>
        <v>55259</v>
      </c>
      <c r="F14" s="308">
        <f t="shared" si="0"/>
        <v>5050673</v>
      </c>
      <c r="G14" s="321"/>
      <c r="H14" s="321"/>
      <c r="I14" s="321"/>
      <c r="J14" s="339"/>
      <c r="K14" s="339"/>
      <c r="L14" s="339"/>
      <c r="M14" s="339"/>
      <c r="N14" s="339"/>
      <c r="O14" s="339"/>
      <c r="P14" s="339"/>
      <c r="Q14" s="339"/>
      <c r="R14" s="339"/>
      <c r="S14" s="339"/>
      <c r="T14" s="339"/>
      <c r="U14" s="339"/>
    </row>
    <row r="15" spans="1:21" s="324" customFormat="1" x14ac:dyDescent="0.25">
      <c r="A15" s="303">
        <v>6</v>
      </c>
      <c r="B15" s="336" t="s">
        <v>57</v>
      </c>
      <c r="C15" s="335" t="s">
        <v>33</v>
      </c>
      <c r="D15" s="349">
        <f>+ROUND(H15,2)</f>
        <v>65</v>
      </c>
      <c r="E15" s="307">
        <f>APU!F155</f>
        <v>20436</v>
      </c>
      <c r="F15" s="308">
        <f t="shared" si="0"/>
        <v>1328340</v>
      </c>
      <c r="G15" s="321"/>
      <c r="H15" s="321">
        <v>65</v>
      </c>
      <c r="I15" s="321"/>
      <c r="J15" s="339"/>
      <c r="K15" s="339"/>
      <c r="L15" s="339"/>
      <c r="M15" s="339"/>
      <c r="N15" s="339"/>
      <c r="O15" s="339"/>
      <c r="P15" s="339"/>
      <c r="Q15" s="339"/>
      <c r="R15" s="339"/>
      <c r="S15" s="339"/>
      <c r="T15" s="339"/>
      <c r="U15" s="339"/>
    </row>
    <row r="16" spans="1:21" s="324" customFormat="1" ht="15" x14ac:dyDescent="0.25">
      <c r="A16" s="303"/>
      <c r="B16" s="328" t="s">
        <v>58</v>
      </c>
      <c r="C16" s="335"/>
      <c r="D16" s="330"/>
      <c r="E16" s="307"/>
      <c r="F16" s="308"/>
      <c r="G16" s="321"/>
      <c r="H16" s="321"/>
      <c r="I16" s="321"/>
      <c r="J16" s="339"/>
      <c r="K16" s="339"/>
      <c r="L16" s="339"/>
      <c r="M16" s="339"/>
      <c r="N16" s="339"/>
      <c r="O16" s="339"/>
      <c r="P16" s="339"/>
      <c r="Q16" s="339"/>
      <c r="R16" s="339"/>
      <c r="S16" s="339"/>
      <c r="T16" s="339"/>
      <c r="U16" s="339"/>
    </row>
    <row r="17" spans="1:21" s="324" customFormat="1" ht="28.5" x14ac:dyDescent="0.25">
      <c r="A17" s="303">
        <v>3</v>
      </c>
      <c r="B17" s="336" t="s">
        <v>93</v>
      </c>
      <c r="C17" s="335" t="s">
        <v>26</v>
      </c>
      <c r="D17" s="349">
        <f>+ROUND(H17*I17,2)</f>
        <v>224.4</v>
      </c>
      <c r="E17" s="307">
        <f>APU!F321</f>
        <v>30259</v>
      </c>
      <c r="F17" s="308">
        <f t="shared" si="0"/>
        <v>6790120</v>
      </c>
      <c r="G17" s="321"/>
      <c r="H17" s="321">
        <v>748</v>
      </c>
      <c r="I17" s="342">
        <v>0.3</v>
      </c>
      <c r="J17" s="339"/>
      <c r="K17" s="339"/>
      <c r="L17" s="339"/>
      <c r="M17" s="339"/>
      <c r="N17" s="339"/>
      <c r="O17" s="339"/>
      <c r="P17" s="339"/>
      <c r="Q17" s="339"/>
      <c r="R17" s="339"/>
      <c r="S17" s="339"/>
      <c r="T17" s="339"/>
      <c r="U17" s="339"/>
    </row>
    <row r="18" spans="1:21" s="324" customFormat="1" ht="28.5" x14ac:dyDescent="0.25">
      <c r="A18" s="303">
        <v>4</v>
      </c>
      <c r="B18" s="336" t="s">
        <v>27</v>
      </c>
      <c r="C18" s="335" t="s">
        <v>26</v>
      </c>
      <c r="D18" s="349">
        <f>+ROUND(H18*I18,2)</f>
        <v>41.7</v>
      </c>
      <c r="E18" s="307">
        <f>APU!F350</f>
        <v>34715</v>
      </c>
      <c r="F18" s="308">
        <f t="shared" si="0"/>
        <v>1447616</v>
      </c>
      <c r="G18" s="321"/>
      <c r="H18" s="321">
        <v>139</v>
      </c>
      <c r="I18" s="342">
        <v>0.3</v>
      </c>
      <c r="J18" s="339"/>
      <c r="K18" s="339"/>
      <c r="L18" s="339"/>
      <c r="M18" s="339"/>
      <c r="N18" s="339"/>
      <c r="O18" s="339"/>
      <c r="P18" s="339"/>
      <c r="Q18" s="339"/>
      <c r="R18" s="339"/>
      <c r="S18" s="339"/>
      <c r="T18" s="339"/>
      <c r="U18" s="339"/>
    </row>
    <row r="19" spans="1:21" s="324" customFormat="1" ht="28.5" x14ac:dyDescent="0.25">
      <c r="A19" s="303">
        <v>5</v>
      </c>
      <c r="B19" s="336" t="s">
        <v>124</v>
      </c>
      <c r="C19" s="335" t="s">
        <v>26</v>
      </c>
      <c r="D19" s="349">
        <f>+ROUND(H19*(D17+D18),2)</f>
        <v>26.61</v>
      </c>
      <c r="E19" s="307">
        <f>APU!F400</f>
        <v>39003</v>
      </c>
      <c r="F19" s="308">
        <f t="shared" si="0"/>
        <v>1037870</v>
      </c>
      <c r="G19" s="321"/>
      <c r="H19" s="342">
        <v>0.1</v>
      </c>
      <c r="I19" s="321"/>
      <c r="J19" s="339"/>
      <c r="K19" s="339"/>
      <c r="L19" s="339"/>
      <c r="M19" s="339"/>
      <c r="N19" s="339"/>
      <c r="O19" s="339"/>
      <c r="P19" s="339"/>
      <c r="Q19" s="339"/>
      <c r="R19" s="339"/>
      <c r="S19" s="339"/>
      <c r="T19" s="339"/>
      <c r="U19" s="339"/>
    </row>
    <row r="20" spans="1:21" s="324" customFormat="1" ht="28.5" x14ac:dyDescent="0.25">
      <c r="A20" s="303">
        <v>6</v>
      </c>
      <c r="B20" s="336" t="s">
        <v>59</v>
      </c>
      <c r="C20" s="335" t="s">
        <v>26</v>
      </c>
      <c r="D20" s="349">
        <f>+ROUND(H20*I20,2)</f>
        <v>60</v>
      </c>
      <c r="E20" s="307">
        <f>APU!F511</f>
        <v>25117</v>
      </c>
      <c r="F20" s="308">
        <f t="shared" si="0"/>
        <v>1507020</v>
      </c>
      <c r="G20" s="321"/>
      <c r="H20" s="321">
        <v>60</v>
      </c>
      <c r="I20" s="321">
        <v>1</v>
      </c>
      <c r="J20" s="339"/>
      <c r="K20" s="339"/>
      <c r="L20" s="339"/>
      <c r="M20" s="339"/>
      <c r="N20" s="339"/>
      <c r="O20" s="339"/>
      <c r="P20" s="339"/>
      <c r="Q20" s="339"/>
      <c r="R20" s="339"/>
      <c r="S20" s="339"/>
      <c r="T20" s="339"/>
      <c r="U20" s="339"/>
    </row>
    <row r="21" spans="1:21" s="324" customFormat="1" ht="15" thickBot="1" x14ac:dyDescent="0.3">
      <c r="A21" s="303">
        <v>10</v>
      </c>
      <c r="B21" s="336" t="s">
        <v>60</v>
      </c>
      <c r="C21" s="335" t="s">
        <v>26</v>
      </c>
      <c r="D21" s="349">
        <f>+ROUND(H21,2)</f>
        <v>163</v>
      </c>
      <c r="E21" s="307">
        <f>APU!F617</f>
        <v>8429</v>
      </c>
      <c r="F21" s="308">
        <f t="shared" si="0"/>
        <v>1373927</v>
      </c>
      <c r="G21" s="321"/>
      <c r="H21" s="321">
        <v>163</v>
      </c>
      <c r="I21" s="321"/>
      <c r="J21" s="339"/>
      <c r="K21" s="339"/>
      <c r="L21" s="339"/>
      <c r="M21" s="339"/>
      <c r="N21" s="339"/>
      <c r="O21" s="339"/>
      <c r="P21" s="339"/>
      <c r="Q21" s="339"/>
      <c r="R21" s="339"/>
      <c r="S21" s="339"/>
      <c r="T21" s="339"/>
      <c r="U21" s="339"/>
    </row>
    <row r="22" spans="1:21" ht="15" x14ac:dyDescent="0.25">
      <c r="A22" s="386" t="s">
        <v>13</v>
      </c>
      <c r="B22" s="387"/>
      <c r="C22" s="387"/>
      <c r="D22" s="387"/>
      <c r="E22" s="387"/>
      <c r="F22" s="315">
        <f>+SUM(F12:F21)</f>
        <v>24928082</v>
      </c>
    </row>
    <row r="23" spans="1:21" ht="15" x14ac:dyDescent="0.25">
      <c r="A23" s="388" t="s">
        <v>1</v>
      </c>
      <c r="B23" s="389"/>
      <c r="C23" s="389"/>
      <c r="D23" s="389"/>
      <c r="E23" s="316">
        <v>0.2</v>
      </c>
      <c r="F23" s="317">
        <f>ROUND(F22*E23,0)</f>
        <v>4985616</v>
      </c>
    </row>
    <row r="24" spans="1:21" ht="15" x14ac:dyDescent="0.25">
      <c r="A24" s="388" t="s">
        <v>2</v>
      </c>
      <c r="B24" s="389"/>
      <c r="C24" s="389"/>
      <c r="D24" s="389"/>
      <c r="E24" s="316">
        <v>0.03</v>
      </c>
      <c r="F24" s="317">
        <f>ROUND(F22*E24,0)</f>
        <v>747842</v>
      </c>
    </row>
    <row r="25" spans="1:21" ht="15" x14ac:dyDescent="0.25">
      <c r="A25" s="388" t="s">
        <v>3</v>
      </c>
      <c r="B25" s="389"/>
      <c r="C25" s="389"/>
      <c r="D25" s="389"/>
      <c r="E25" s="316">
        <v>0.05</v>
      </c>
      <c r="F25" s="317">
        <f>ROUND(F22*E25,0)</f>
        <v>1246404</v>
      </c>
    </row>
    <row r="26" spans="1:21" ht="15.75" thickBot="1" x14ac:dyDescent="0.3">
      <c r="A26" s="390" t="s">
        <v>4</v>
      </c>
      <c r="B26" s="391"/>
      <c r="C26" s="391"/>
      <c r="D26" s="391"/>
      <c r="E26" s="318">
        <v>0.19</v>
      </c>
      <c r="F26" s="319">
        <f>ROUND(F25*E26,0)</f>
        <v>236817</v>
      </c>
    </row>
    <row r="27" spans="1:21" ht="15.75" thickBot="1" x14ac:dyDescent="0.3">
      <c r="A27" s="361" t="s">
        <v>14</v>
      </c>
      <c r="B27" s="362"/>
      <c r="C27" s="362"/>
      <c r="D27" s="362"/>
      <c r="E27" s="363"/>
      <c r="F27" s="320">
        <f>SUM(F22:F26)</f>
        <v>32144761</v>
      </c>
    </row>
    <row r="28" spans="1:21" s="321" customFormat="1" x14ac:dyDescent="0.25">
      <c r="A28" s="364" t="s">
        <v>156</v>
      </c>
      <c r="B28" s="365"/>
      <c r="C28" s="365"/>
      <c r="D28" s="365"/>
      <c r="E28" s="365"/>
      <c r="F28" s="366"/>
    </row>
    <row r="29" spans="1:21" s="321" customFormat="1" x14ac:dyDescent="0.25">
      <c r="A29" s="367"/>
      <c r="B29" s="368"/>
      <c r="C29" s="368"/>
      <c r="D29" s="368"/>
      <c r="E29" s="368"/>
      <c r="F29" s="369"/>
    </row>
    <row r="30" spans="1:21" s="321" customFormat="1" ht="15" thickBot="1" x14ac:dyDescent="0.3">
      <c r="A30" s="370"/>
      <c r="B30" s="371"/>
      <c r="C30" s="371"/>
      <c r="D30" s="371"/>
      <c r="E30" s="371"/>
      <c r="F30" s="372"/>
    </row>
  </sheetData>
  <mergeCells count="10">
    <mergeCell ref="A24:D24"/>
    <mergeCell ref="A25:D25"/>
    <mergeCell ref="A26:D26"/>
    <mergeCell ref="A27:E27"/>
    <mergeCell ref="A28:F30"/>
    <mergeCell ref="A1:F2"/>
    <mergeCell ref="A3:F4"/>
    <mergeCell ref="A5:F7"/>
    <mergeCell ref="A22:E22"/>
    <mergeCell ref="A23:D23"/>
  </mergeCells>
  <pageMargins left="0.70866141732283472" right="0.70866141732283472" top="0.74803149606299213" bottom="0.74803149606299213" header="0.31496062992125984" footer="0.31496062992125984"/>
  <pageSetup scale="68" fitToHeight="0" orientation="portrait" horizont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APU</vt:lpstr>
      <vt:lpstr>PPTO MANTENIMIENTO</vt:lpstr>
      <vt:lpstr>PUERTO TEJADA</vt:lpstr>
      <vt:lpstr>SANTANDER Q</vt:lpstr>
      <vt:lpstr>BORDO</vt:lpstr>
      <vt:lpstr>POPAYAN FPS</vt:lpstr>
      <vt:lpstr>POPAYAN LCP</vt:lpstr>
      <vt:lpstr>ADOLESCENTES</vt:lpstr>
      <vt:lpstr>ADOLESCENTES!Área_de_impresión</vt:lpstr>
      <vt:lpstr>BORDO!Área_de_impresión</vt:lpstr>
      <vt:lpstr>'POPAYAN FPS'!Área_de_impresión</vt:lpstr>
      <vt:lpstr>'POPAYAN LCP'!Área_de_impresión</vt:lpstr>
      <vt:lpstr>'PPTO MANTENIMIENTO'!Área_de_impresión</vt:lpstr>
      <vt:lpstr>'PUERTO TEJADA'!Área_de_impresión</vt:lpstr>
      <vt:lpstr>'SANTANDER Q'!Área_de_impresión</vt:lpstr>
    </vt:vector>
  </TitlesOfParts>
  <Company>Dixguel03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José Cabrales Ricardo</dc:creator>
  <cp:lastModifiedBy>Manuel Alejandro</cp:lastModifiedBy>
  <cp:lastPrinted>2024-06-19T14:53:55Z</cp:lastPrinted>
  <dcterms:created xsi:type="dcterms:W3CDTF">2022-05-06T19:34:24Z</dcterms:created>
  <dcterms:modified xsi:type="dcterms:W3CDTF">2025-06-06T21:05:29Z</dcterms:modified>
</cp:coreProperties>
</file>