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eve\Desktop\JUANSMS PROCESOS\EJECUTIVO ALIMENTOS INDIRA\"/>
    </mc:Choice>
  </mc:AlternateContent>
  <xr:revisionPtr revIDLastSave="3" documentId="13_ncr:1_{623DF038-886D-4FD1-ACFC-345A7D9AC326}" xr6:coauthVersionLast="47" xr6:coauthVersionMax="47" xr10:uidLastSave="{430C7BEF-7BC2-4201-9138-9C4E7D36D8C8}"/>
  <bookViews>
    <workbookView xWindow="-120" yWindow="-120" windowWidth="20730" windowHeight="11160" xr2:uid="{5B9F5FCB-1058-4294-AADE-061A135349E9}"/>
  </bookViews>
  <sheets>
    <sheet name="Hoja1" sheetId="1" r:id="rId1"/>
  </sheets>
  <externalReferences>
    <externalReference r:id="rId2"/>
  </externalReferences>
  <definedNames>
    <definedName name="Fam_Desde">Hoja1!$A$13</definedName>
    <definedName name="Fam_Hasta" localSheetId="0">Hoja1!$B$13</definedName>
    <definedName name="Fila_Fin_FSL" localSheetId="0">IF('[1]CT $ I%SML'!Fam_Desde,'[1]CT $ I%SML'!Fila_Pri_FSL+'[1]CT $ I%SML'!No_Períodos_FSL,'[1]CT $ I%SML'!Fila_Pri_FSL)</definedName>
    <definedName name="Int_Has" localSheetId="0">Hoja1!$E$7</definedName>
    <definedName name="Primera_Cuota" localSheetId="0">Hoja1!$E$13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E43" i="1"/>
  <c r="K43" i="1"/>
  <c r="M48" i="1" l="1"/>
  <c r="M47" i="1"/>
  <c r="M53" i="1"/>
  <c r="D14" i="1"/>
  <c r="A14" i="1"/>
  <c r="J13" i="1"/>
  <c r="M13" i="1" s="1"/>
  <c r="H13" i="1"/>
  <c r="B13" i="1"/>
  <c r="B14" i="1" s="1"/>
  <c r="A15" i="1" l="1"/>
  <c r="I14" i="1"/>
  <c r="B15" i="1" l="1"/>
  <c r="A16" i="1"/>
  <c r="I15" i="1"/>
  <c r="D15" i="1"/>
  <c r="H14" i="1"/>
  <c r="B16" i="1" l="1"/>
  <c r="J14" i="1"/>
  <c r="I16" i="1"/>
  <c r="D16" i="1"/>
  <c r="A17" i="1"/>
  <c r="B17" i="1" l="1"/>
  <c r="A18" i="1"/>
  <c r="I17" i="1"/>
  <c r="D17" i="1"/>
  <c r="M14" i="1"/>
  <c r="N14" i="1"/>
  <c r="B18" i="1" l="1"/>
  <c r="A19" i="1"/>
  <c r="I18" i="1"/>
  <c r="D18" i="1"/>
  <c r="H15" i="1"/>
  <c r="B19" i="1" l="1"/>
  <c r="A20" i="1"/>
  <c r="I19" i="1"/>
  <c r="D19" i="1"/>
  <c r="J15" i="1"/>
  <c r="B20" i="1" l="1"/>
  <c r="D20" i="1"/>
  <c r="A21" i="1"/>
  <c r="I20" i="1"/>
  <c r="N15" i="1"/>
  <c r="M15" i="1"/>
  <c r="B21" i="1" l="1"/>
  <c r="D21" i="1"/>
  <c r="A22" i="1"/>
  <c r="I21" i="1"/>
  <c r="H16" i="1"/>
  <c r="B22" i="1" l="1"/>
  <c r="J16" i="1"/>
  <c r="A23" i="1"/>
  <c r="D22" i="1"/>
  <c r="I22" i="1"/>
  <c r="B23" i="1" l="1"/>
  <c r="M16" i="1"/>
  <c r="N16" i="1"/>
  <c r="A24" i="1"/>
  <c r="I23" i="1"/>
  <c r="D23" i="1"/>
  <c r="B24" i="1" l="1"/>
  <c r="H17" i="1"/>
  <c r="A25" i="1"/>
  <c r="I24" i="1"/>
  <c r="D24" i="1"/>
  <c r="B25" i="1" l="1"/>
  <c r="J17" i="1"/>
  <c r="A26" i="1"/>
  <c r="I25" i="1"/>
  <c r="D25" i="1"/>
  <c r="B26" i="1" l="1"/>
  <c r="A27" i="1"/>
  <c r="I26" i="1"/>
  <c r="D26" i="1"/>
  <c r="N17" i="1"/>
  <c r="M17" i="1"/>
  <c r="B27" i="1" l="1"/>
  <c r="D27" i="1"/>
  <c r="H18" i="1"/>
  <c r="I27" i="1" l="1"/>
  <c r="A28" i="1"/>
  <c r="J18" i="1"/>
  <c r="B28" i="1" l="1"/>
  <c r="N18" i="1"/>
  <c r="M18" i="1"/>
  <c r="A29" i="1" l="1"/>
  <c r="I28" i="1"/>
  <c r="D28" i="1"/>
  <c r="H19" i="1"/>
  <c r="B29" i="1" l="1"/>
  <c r="J19" i="1"/>
  <c r="I29" i="1" l="1"/>
  <c r="A30" i="1"/>
  <c r="D29" i="1"/>
  <c r="M19" i="1"/>
  <c r="N19" i="1"/>
  <c r="B30" i="1" l="1"/>
  <c r="H20" i="1"/>
  <c r="A31" i="1" l="1"/>
  <c r="I30" i="1"/>
  <c r="D30" i="1"/>
  <c r="J20" i="1"/>
  <c r="B31" i="1" l="1"/>
  <c r="N20" i="1"/>
  <c r="M20" i="1"/>
  <c r="A32" i="1" l="1"/>
  <c r="I31" i="1"/>
  <c r="D31" i="1"/>
  <c r="H21" i="1"/>
  <c r="B32" i="1" l="1"/>
  <c r="J21" i="1"/>
  <c r="A33" i="1" l="1"/>
  <c r="I32" i="1"/>
  <c r="D32" i="1"/>
  <c r="M21" i="1"/>
  <c r="N21" i="1"/>
  <c r="B33" i="1" l="1"/>
  <c r="H22" i="1"/>
  <c r="I33" i="1" l="1"/>
  <c r="A34" i="1"/>
  <c r="D33" i="1"/>
  <c r="J22" i="1"/>
  <c r="B34" i="1" l="1"/>
  <c r="N22" i="1"/>
  <c r="M22" i="1"/>
  <c r="D34" i="1" l="1"/>
  <c r="I34" i="1"/>
  <c r="A35" i="1"/>
  <c r="H23" i="1"/>
  <c r="B35" i="1" l="1"/>
  <c r="J23" i="1"/>
  <c r="D35" i="1" l="1"/>
  <c r="I35" i="1"/>
  <c r="A36" i="1"/>
  <c r="M23" i="1"/>
  <c r="N23" i="1"/>
  <c r="B36" i="1" l="1"/>
  <c r="H24" i="1"/>
  <c r="D36" i="1" l="1"/>
  <c r="I36" i="1"/>
  <c r="A37" i="1"/>
  <c r="J24" i="1"/>
  <c r="B37" i="1" l="1"/>
  <c r="N24" i="1"/>
  <c r="M24" i="1"/>
  <c r="D37" i="1" l="1"/>
  <c r="I37" i="1"/>
  <c r="A38" i="1"/>
  <c r="H25" i="1"/>
  <c r="B38" i="1" l="1"/>
  <c r="J25" i="1"/>
  <c r="D38" i="1" l="1"/>
  <c r="I38" i="1"/>
  <c r="A39" i="1"/>
  <c r="M25" i="1"/>
  <c r="N25" i="1"/>
  <c r="B39" i="1" l="1"/>
  <c r="H26" i="1"/>
  <c r="D39" i="1" l="1"/>
  <c r="I39" i="1"/>
  <c r="A40" i="1"/>
  <c r="J26" i="1"/>
  <c r="M26" i="1"/>
  <c r="B40" i="1" l="1"/>
  <c r="A41" i="1" s="1"/>
  <c r="B41" i="1" s="1"/>
  <c r="N26" i="1"/>
  <c r="I41" i="1" l="1"/>
  <c r="A42" i="1"/>
  <c r="B42" i="1" s="1"/>
  <c r="D40" i="1"/>
  <c r="D41" i="1" s="1"/>
  <c r="I40" i="1"/>
  <c r="H27" i="1"/>
  <c r="D42" i="1" l="1"/>
  <c r="I42" i="1"/>
  <c r="J27" i="1"/>
  <c r="N27" i="1" l="1"/>
  <c r="M27" i="1"/>
  <c r="H28" i="1" l="1"/>
  <c r="D43" i="1" l="1"/>
  <c r="J28" i="1"/>
  <c r="N28" i="1" l="1"/>
  <c r="M28" i="1"/>
  <c r="H29" i="1" l="1"/>
  <c r="J29" i="1" l="1"/>
  <c r="N29" i="1" l="1"/>
  <c r="M29" i="1"/>
  <c r="H30" i="1" l="1"/>
  <c r="J30" i="1" l="1"/>
  <c r="N30" i="1" l="1"/>
  <c r="M30" i="1"/>
  <c r="H31" i="1" l="1"/>
  <c r="J31" i="1" l="1"/>
  <c r="N31" i="1" l="1"/>
  <c r="M31" i="1"/>
  <c r="H32" i="1" l="1"/>
  <c r="J32" i="1" l="1"/>
  <c r="M32" i="1" l="1"/>
  <c r="N32" i="1"/>
  <c r="H33" i="1" l="1"/>
  <c r="J33" i="1" l="1"/>
  <c r="N33" i="1" l="1"/>
  <c r="M33" i="1"/>
  <c r="H34" i="1" l="1"/>
  <c r="J34" i="1" l="1"/>
  <c r="M34" i="1" l="1"/>
  <c r="N34" i="1"/>
  <c r="H35" i="1" l="1"/>
  <c r="J35" i="1" l="1"/>
  <c r="N35" i="1" l="1"/>
  <c r="M35" i="1"/>
  <c r="H36" i="1" l="1"/>
  <c r="J36" i="1" l="1"/>
  <c r="M36" i="1" l="1"/>
  <c r="N36" i="1"/>
  <c r="H37" i="1" l="1"/>
  <c r="J37" i="1" l="1"/>
  <c r="N37" i="1" l="1"/>
  <c r="M37" i="1"/>
  <c r="H38" i="1" l="1"/>
  <c r="J38" i="1" l="1"/>
  <c r="M38" i="1" l="1"/>
  <c r="N38" i="1"/>
  <c r="H39" i="1" l="1"/>
  <c r="J39" i="1" l="1"/>
  <c r="N39" i="1" l="1"/>
  <c r="M39" i="1"/>
  <c r="H40" i="1" l="1"/>
  <c r="J40" i="1" l="1"/>
  <c r="M40" i="1" l="1"/>
  <c r="N40" i="1"/>
  <c r="H41" i="1" l="1"/>
  <c r="J41" i="1" l="1"/>
  <c r="N41" i="1" l="1"/>
  <c r="M41" i="1"/>
  <c r="H42" i="1" l="1"/>
  <c r="J42" i="1" s="1"/>
  <c r="J43" i="1" l="1"/>
  <c r="M49" i="1" s="1"/>
  <c r="M42" i="1"/>
  <c r="M43" i="1" s="1"/>
  <c r="N42" i="1"/>
  <c r="N43" i="1" s="1"/>
  <c r="M51" i="1" l="1"/>
  <c r="M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RAML</author>
    <author>EQUIPO 5</author>
    <author>Angela Cecilia Sanchez Orozco</author>
  </authors>
  <commentList>
    <comment ref="E7" authorId="0" shapeId="0" xr:uid="{2A03F700-6F86-4B83-A3D1-DF76AFE48EC7}">
      <text>
        <r>
          <rPr>
            <sz val="9"/>
            <color indexed="8"/>
            <rFont val="Tahoma"/>
            <family val="2"/>
          </rPr>
          <t>Esta fecha puede cambiarse por otra, antarior o posterior, según se requiera.</t>
        </r>
      </text>
    </comment>
    <comment ref="A11" authorId="1" shapeId="0" xr:uid="{773C3FA1-3538-475C-B742-E7BB30D1691D}">
      <text>
        <r>
          <rPr>
            <b/>
            <sz val="8"/>
            <color indexed="81"/>
            <rFont val="Tahoma"/>
            <family val="2"/>
          </rPr>
          <t>IMPORTANTE: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Si  por algún motivo, en la columna "Hasta", se digita una fecha diferente a la existente, el mes correspondiente se dividirá en dos porciones y la cuota alimentaria se repetirá. Proceda así: seleccione la cuota repetida junto con la siguiente hacia abajo; ordene copiar y luego, sin salirse de la selección, ordene pegar valores (Menú Edición - Pegado Especial - Pegar - Valores). Ahora puede surpimir la cuota repetida. Cuando sierre, hágalo sin cambios para que la tabla no se altere.</t>
        </r>
      </text>
    </comment>
    <comment ref="E11" authorId="0" shapeId="0" xr:uid="{2E387527-635D-4713-967E-97CE8AF7ADEB}">
      <text>
        <r>
          <rPr>
            <sz val="8"/>
            <color indexed="81"/>
            <rFont val="Tahoma"/>
            <family val="2"/>
          </rPr>
          <t>Importante: Si uno o varios meses deben partirse, la cuota se repite.
Proceda así: Copie y pegue como valor la cuota del mes siguiente o, bien, digítela manualmente. Acto seguido borre la cuota repetida.</t>
        </r>
      </text>
    </comment>
    <comment ref="A13" authorId="0" shapeId="0" xr:uid="{3BF75046-37E0-4402-9026-6B70405A8D6D}">
      <text>
        <r>
          <rPr>
            <sz val="9"/>
            <color indexed="8"/>
            <rFont val="Tahoma"/>
            <family val="2"/>
          </rPr>
          <t>Digite aquí la fecha inicial de liquidación.</t>
        </r>
      </text>
    </comment>
    <comment ref="E13" authorId="0" shapeId="0" xr:uid="{87B5106A-B3A0-458B-B87D-40B4E0835E83}">
      <text>
        <r>
          <rPr>
            <sz val="9"/>
            <color indexed="81"/>
            <rFont val="Tahoma"/>
            <family val="2"/>
          </rPr>
          <t>Digite aquí el valor de la cuota correspondiente al primer año en liquidación. Si no se conoce, digite la del año anterior y en celda de fecha inicial, digite 1-12-año anterior. Ubique la nueva cuota al frente de enero y digítela en su lugar. Digite ahora la fecha inicial.</t>
        </r>
      </text>
    </comment>
    <comment ref="A22" authorId="2" shapeId="0" xr:uid="{C8E7CE0F-E553-4197-87CA-C04B620C4D41}">
      <text>
        <r>
          <rPr>
            <b/>
            <sz val="9"/>
            <color indexed="81"/>
            <rFont val="Tahoma"/>
            <family val="2"/>
          </rPr>
          <t>Angela Cecilia Sanchez Orozco: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<sst xmlns="http://schemas.openxmlformats.org/spreadsheetml/2006/main" count="34" uniqueCount="34">
  <si>
    <t>LIQUIDACIÓN DE CRÉDITO</t>
  </si>
  <si>
    <t>Digite el Nro. de mes para incremento &gt;&gt;</t>
  </si>
  <si>
    <t>Tasa Ints.</t>
  </si>
  <si>
    <t>1/ene/20</t>
  </si>
  <si>
    <t>&lt; Se recomienda liquidar el último mes completo para facilitar la liquidación adicional</t>
  </si>
  <si>
    <t xml:space="preserve">Saldo de Capital, Fl.  &gt;&gt; </t>
  </si>
  <si>
    <t>Saldo de Intereses, Fl.   &gt;&gt;</t>
  </si>
  <si>
    <t>Vigencia</t>
  </si>
  <si>
    <t>Incremento</t>
  </si>
  <si>
    <t>Cuotas</t>
  </si>
  <si>
    <t>Prima</t>
  </si>
  <si>
    <t>Subsidios</t>
  </si>
  <si>
    <t>LIQUIDACIÓN DEL CRÉDITO</t>
  </si>
  <si>
    <t>Desde</t>
  </si>
  <si>
    <t>Hasta</t>
  </si>
  <si>
    <t>% de SMML</t>
  </si>
  <si>
    <t>Alimentarias</t>
  </si>
  <si>
    <t>Capital Liquidable</t>
  </si>
  <si>
    <t>días</t>
  </si>
  <si>
    <t>Liq Intereses</t>
  </si>
  <si>
    <t>Abonos</t>
  </si>
  <si>
    <t>Saldo Intereses</t>
  </si>
  <si>
    <t>Saldo de Capital más Intereses</t>
  </si>
  <si>
    <t>Valor</t>
  </si>
  <si>
    <t>Folio</t>
  </si>
  <si>
    <t>2.44%</t>
  </si>
  <si>
    <t>1.94%</t>
  </si>
  <si>
    <t>total cuotas a 30/5/2022</t>
  </si>
  <si>
    <t>total primas a 30/5/2022</t>
  </si>
  <si>
    <t xml:space="preserve"> intereses pagados  a 30/5/2022</t>
  </si>
  <si>
    <t>Condena en costas</t>
  </si>
  <si>
    <t xml:space="preserve">Total a pagar a 30/5/2022 </t>
  </si>
  <si>
    <t>total embargado a 30/5/2022</t>
  </si>
  <si>
    <t>saldo a favor a 30/5/2022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</si>
</sst>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0.000%"/>
    <numFmt numFmtId="166" formatCode="#,##0.00_);[Red]&quot;Devol&quot;\ \(#,##0.00\)"/>
    <numFmt numFmtId="167" formatCode="#,##0.00_);[Red]&quot;D&quot;\ \(#,##0.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3"/>
      <name val="Times New Roman"/>
      <family val="1"/>
    </font>
    <font>
      <b/>
      <sz val="10"/>
      <name val="Arial"/>
      <family val="2"/>
    </font>
    <font>
      <sz val="10"/>
      <color indexed="3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i/>
      <sz val="9"/>
      <name val="Arial"/>
      <family val="2"/>
    </font>
    <font>
      <sz val="9"/>
      <color indexed="8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1" applyFont="1" applyBorder="1" applyAlignment="1">
      <alignment horizontal="right"/>
    </xf>
    <xf numFmtId="164" fontId="4" fillId="0" borderId="0" xfId="1" applyFont="1" applyAlignment="1">
      <alignment horizontal="right"/>
    </xf>
    <xf numFmtId="49" fontId="4" fillId="0" borderId="0" xfId="1" applyNumberFormat="1" applyFont="1" applyAlignment="1">
      <alignment horizontal="right"/>
    </xf>
    <xf numFmtId="0" fontId="5" fillId="0" borderId="1" xfId="0" applyFont="1" applyBorder="1" applyAlignment="1">
      <alignment horizontal="justify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/>
    <xf numFmtId="49" fontId="0" fillId="3" borderId="1" xfId="0" applyNumberFormat="1" applyFill="1" applyBorder="1" applyAlignment="1">
      <alignment horizontal="center"/>
    </xf>
    <xf numFmtId="164" fontId="1" fillId="0" borderId="1" xfId="1" applyFill="1" applyBorder="1"/>
    <xf numFmtId="15" fontId="0" fillId="3" borderId="1" xfId="0" applyNumberFormat="1" applyFill="1" applyBorder="1"/>
    <xf numFmtId="164" fontId="1" fillId="0" borderId="0" xfId="1" applyFill="1"/>
    <xf numFmtId="164" fontId="1" fillId="0" borderId="0" xfId="1"/>
    <xf numFmtId="164" fontId="4" fillId="5" borderId="1" xfId="1" applyFont="1" applyFill="1" applyBorder="1" applyAlignment="1">
      <alignment horizontal="right"/>
    </xf>
    <xf numFmtId="165" fontId="8" fillId="0" borderId="0" xfId="0" applyNumberFormat="1" applyFont="1" applyAlignment="1">
      <alignment horizontal="right"/>
    </xf>
    <xf numFmtId="15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right"/>
    </xf>
    <xf numFmtId="0" fontId="9" fillId="6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164" fontId="9" fillId="6" borderId="12" xfId="1" applyFont="1" applyFill="1" applyBorder="1" applyAlignment="1">
      <alignment horizontal="center" vertical="center" wrapText="1"/>
    </xf>
    <xf numFmtId="164" fontId="9" fillId="6" borderId="12" xfId="1" applyFont="1" applyFill="1" applyBorder="1" applyAlignment="1">
      <alignment horizontal="center" vertical="center"/>
    </xf>
    <xf numFmtId="164" fontId="9" fillId="6" borderId="9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164" fontId="9" fillId="6" borderId="13" xfId="1" applyFont="1" applyFill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center" vertical="center"/>
    </xf>
    <xf numFmtId="164" fontId="9" fillId="0" borderId="11" xfId="1" applyFont="1" applyBorder="1" applyAlignment="1">
      <alignment horizontal="center" vertical="center"/>
    </xf>
    <xf numFmtId="164" fontId="9" fillId="0" borderId="10" xfId="1" applyFont="1" applyBorder="1" applyAlignment="1">
      <alignment horizontal="center" vertical="center"/>
    </xf>
    <xf numFmtId="40" fontId="9" fillId="0" borderId="11" xfId="0" applyNumberFormat="1" applyFont="1" applyBorder="1" applyAlignment="1">
      <alignment horizontal="center" vertical="center" wrapText="1"/>
    </xf>
    <xf numFmtId="15" fontId="10" fillId="4" borderId="1" xfId="0" applyNumberFormat="1" applyFont="1" applyFill="1" applyBorder="1" applyAlignment="1">
      <alignment horizontal="left"/>
    </xf>
    <xf numFmtId="15" fontId="10" fillId="2" borderId="1" xfId="0" applyNumberFormat="1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164" fontId="1" fillId="0" borderId="14" xfId="1" applyFill="1" applyBorder="1"/>
    <xf numFmtId="164" fontId="9" fillId="7" borderId="15" xfId="1" applyFont="1" applyFill="1" applyBorder="1" applyAlignment="1">
      <alignment horizontal="right"/>
    </xf>
    <xf numFmtId="164" fontId="11" fillId="0" borderId="0" xfId="1" applyFont="1" applyFill="1" applyBorder="1" applyAlignment="1">
      <alignment horizontal="right"/>
    </xf>
    <xf numFmtId="166" fontId="12" fillId="0" borderId="0" xfId="0" applyNumberFormat="1" applyFont="1"/>
    <xf numFmtId="0" fontId="11" fillId="0" borderId="16" xfId="0" applyFont="1" applyBorder="1"/>
    <xf numFmtId="40" fontId="12" fillId="0" borderId="0" xfId="0" applyNumberFormat="1" applyFont="1" applyAlignment="1">
      <alignment horizontal="right"/>
    </xf>
    <xf numFmtId="0" fontId="12" fillId="0" borderId="11" xfId="1" applyNumberFormat="1" applyFont="1" applyFill="1" applyBorder="1" applyAlignment="1">
      <alignment horizontal="center"/>
    </xf>
    <xf numFmtId="49" fontId="12" fillId="0" borderId="11" xfId="1" applyNumberFormat="1" applyFont="1" applyFill="1" applyBorder="1" applyAlignment="1">
      <alignment horizontal="center"/>
    </xf>
    <xf numFmtId="40" fontId="12" fillId="0" borderId="0" xfId="0" applyNumberFormat="1" applyFont="1" applyProtection="1">
      <protection locked="0" hidden="1"/>
    </xf>
    <xf numFmtId="15" fontId="13" fillId="0" borderId="0" xfId="0" applyNumberFormat="1" applyFont="1" applyAlignment="1">
      <alignment horizontal="left"/>
    </xf>
    <xf numFmtId="10" fontId="11" fillId="0" borderId="0" xfId="2" applyNumberFormat="1" applyFont="1" applyBorder="1" applyAlignment="1">
      <alignment horizontal="center"/>
    </xf>
    <xf numFmtId="164" fontId="11" fillId="4" borderId="0" xfId="1" applyFont="1" applyFill="1" applyBorder="1" applyAlignment="1">
      <alignment horizontal="right"/>
    </xf>
    <xf numFmtId="167" fontId="11" fillId="0" borderId="0" xfId="0" applyNumberFormat="1" applyFont="1" applyProtection="1">
      <protection locked="0" hidden="1"/>
    </xf>
    <xf numFmtId="164" fontId="11" fillId="0" borderId="0" xfId="1" applyFont="1" applyBorder="1" applyAlignment="1">
      <alignment horizontal="right"/>
    </xf>
    <xf numFmtId="49" fontId="11" fillId="0" borderId="0" xfId="1" applyNumberFormat="1" applyFont="1" applyFill="1" applyBorder="1" applyAlignment="1">
      <alignment horizontal="right"/>
    </xf>
    <xf numFmtId="40" fontId="11" fillId="0" borderId="0" xfId="1" applyNumberFormat="1" applyFont="1" applyFill="1" applyBorder="1" applyAlignment="1">
      <alignment horizontal="right"/>
    </xf>
    <xf numFmtId="40" fontId="11" fillId="0" borderId="0" xfId="0" applyNumberFormat="1" applyFont="1" applyProtection="1">
      <protection locked="0" hidden="1"/>
    </xf>
    <xf numFmtId="164" fontId="0" fillId="0" borderId="0" xfId="0" applyNumberFormat="1"/>
    <xf numFmtId="43" fontId="0" fillId="0" borderId="0" xfId="0" applyNumberFormat="1"/>
    <xf numFmtId="164" fontId="20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164" fontId="0" fillId="0" borderId="1" xfId="1" applyFont="1" applyBorder="1"/>
    <xf numFmtId="43" fontId="0" fillId="0" borderId="1" xfId="0" applyNumberFormat="1" applyBorder="1"/>
    <xf numFmtId="167" fontId="0" fillId="0" borderId="0" xfId="0" applyNumberFormat="1"/>
    <xf numFmtId="40" fontId="0" fillId="0" borderId="0" xfId="0" applyNumberFormat="1"/>
    <xf numFmtId="164" fontId="7" fillId="0" borderId="2" xfId="1" applyFont="1" applyFill="1" applyBorder="1" applyAlignment="1"/>
    <xf numFmtId="164" fontId="7" fillId="0" borderId="0" xfId="1" applyFont="1" applyFill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justify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4" borderId="3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right"/>
    </xf>
    <xf numFmtId="0" fontId="6" fillId="5" borderId="8" xfId="0" applyFont="1" applyFill="1" applyBorder="1" applyAlignment="1">
      <alignment horizontal="right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164" fontId="9" fillId="6" borderId="12" xfId="1" applyFont="1" applyFill="1" applyBorder="1" applyAlignment="1">
      <alignment horizontal="center" vertical="center" wrapText="1"/>
    </xf>
    <xf numFmtId="164" fontId="9" fillId="6" borderId="13" xfId="1" applyFont="1" applyFill="1" applyBorder="1" applyAlignment="1">
      <alignment horizontal="center" vertical="center" wrapText="1"/>
    </xf>
    <xf numFmtId="166" fontId="9" fillId="4" borderId="11" xfId="0" applyNumberFormat="1" applyFont="1" applyFill="1" applyBorder="1" applyAlignment="1">
      <alignment horizontal="center" vertical="center" wrapText="1"/>
    </xf>
    <xf numFmtId="164" fontId="9" fillId="0" borderId="9" xfId="1" applyFont="1" applyBorder="1" applyAlignment="1">
      <alignment horizontal="center" vertical="center"/>
    </xf>
    <xf numFmtId="164" fontId="9" fillId="0" borderId="10" xfId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21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7b99c7dea05a7910/Escritorio/Documentos/CASO%20DANIEL%20CEBALLOS/Tabla%20para%20liquidar%20creditos%20-%20LIQUIDACI&#211;N%20DEL%20CR&#201;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 $ I%SML"/>
    </sheetNames>
    <definedNames>
      <definedName name="Fam_Desde" refersTo="='CT $ I%SML'!$A$13" sheetId="0"/>
      <definedName name="Fila_Pri_FSL" refersTo="#REF!" sheetId="0"/>
      <definedName name="No_Períodos_FSL" refersTo="#REF!" sheetId="0"/>
    </definedNames>
    <sheetDataSet>
      <sheetData sheetId="0">
        <row r="13">
          <cell r="A13">
            <v>43891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E2DB-2D80-41AB-9133-A4CFAB3ED2AD}">
  <dimension ref="A1:N56"/>
  <sheetViews>
    <sheetView tabSelected="1" workbookViewId="0">
      <selection activeCell="G9" sqref="G9"/>
    </sheetView>
  </sheetViews>
  <sheetFormatPr defaultColWidth="11.42578125" defaultRowHeight="15"/>
  <cols>
    <col min="4" max="4" width="11.42578125" hidden="1" customWidth="1"/>
    <col min="5" max="5" width="12.85546875" customWidth="1"/>
    <col min="6" max="6" width="13.28515625" customWidth="1"/>
    <col min="8" max="8" width="12.85546875" customWidth="1"/>
    <col min="11" max="11" width="14.5703125" customWidth="1"/>
    <col min="12" max="12" width="0.140625" customWidth="1"/>
    <col min="13" max="13" width="15.5703125" customWidth="1"/>
    <col min="14" max="14" width="14" customWidth="1"/>
  </cols>
  <sheetData>
    <row r="1" spans="1:14" ht="16.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6.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6.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>
      <c r="A4" s="1"/>
      <c r="B4" s="2"/>
      <c r="C4" s="3"/>
      <c r="D4" s="4"/>
      <c r="E4" s="4"/>
      <c r="F4" s="4"/>
      <c r="G4" s="4"/>
      <c r="H4" s="5"/>
      <c r="I4" s="2"/>
      <c r="J4" s="6"/>
      <c r="K4" s="7"/>
      <c r="L4" s="8"/>
      <c r="M4" s="7"/>
      <c r="N4" s="2"/>
    </row>
    <row r="5" spans="1:14" ht="17.2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ht="31.5" customHeight="1">
      <c r="A6" s="72" t="s">
        <v>1</v>
      </c>
      <c r="B6" s="72"/>
      <c r="C6" s="72"/>
      <c r="D6" s="9"/>
      <c r="E6" s="10">
        <v>1</v>
      </c>
      <c r="F6" s="11"/>
      <c r="G6" s="11"/>
      <c r="H6" s="11"/>
      <c r="I6" s="11"/>
      <c r="J6" s="12"/>
      <c r="K6" s="12"/>
      <c r="L6" s="12"/>
      <c r="M6" s="12"/>
      <c r="N6" s="12"/>
    </row>
    <row r="7" spans="1:14">
      <c r="A7" s="13" t="s">
        <v>2</v>
      </c>
      <c r="B7" s="14">
        <v>5.0000000000000001E-3</v>
      </c>
      <c r="C7" s="15" t="s">
        <v>3</v>
      </c>
      <c r="D7" s="16"/>
      <c r="E7" s="17">
        <v>44711</v>
      </c>
      <c r="F7" s="67" t="s">
        <v>4</v>
      </c>
      <c r="G7" s="68"/>
      <c r="H7" s="68"/>
      <c r="I7" s="68"/>
      <c r="J7" s="68"/>
      <c r="K7" s="68"/>
      <c r="L7" s="8"/>
      <c r="M7" s="7"/>
    </row>
    <row r="8" spans="1:14">
      <c r="A8" s="83" t="s">
        <v>5</v>
      </c>
      <c r="B8" s="84"/>
      <c r="C8" s="85"/>
      <c r="D8" s="16"/>
      <c r="E8">
        <v>280900</v>
      </c>
      <c r="F8" s="4"/>
      <c r="G8" s="18"/>
      <c r="J8" s="19"/>
      <c r="K8" s="7"/>
      <c r="L8" s="8"/>
      <c r="M8" s="7"/>
    </row>
    <row r="9" spans="1:14">
      <c r="A9" s="86" t="s">
        <v>6</v>
      </c>
      <c r="B9" s="87"/>
      <c r="C9" s="88"/>
      <c r="D9" s="16"/>
      <c r="E9" s="20"/>
      <c r="F9" s="18"/>
      <c r="G9" s="4"/>
      <c r="H9" s="4"/>
      <c r="I9" s="21"/>
      <c r="J9" s="21"/>
      <c r="K9" s="22"/>
      <c r="L9" s="23"/>
      <c r="M9" s="19"/>
    </row>
    <row r="10" spans="1:14">
      <c r="C10" s="24"/>
      <c r="D10" s="18"/>
      <c r="E10" s="18"/>
      <c r="F10" s="18"/>
      <c r="G10" s="1"/>
      <c r="I10" s="5"/>
      <c r="J10" s="5"/>
      <c r="K10" s="5"/>
      <c r="L10" s="25"/>
      <c r="M10" s="4"/>
      <c r="N10" s="5"/>
    </row>
    <row r="11" spans="1:14">
      <c r="A11" s="89" t="s">
        <v>7</v>
      </c>
      <c r="B11" s="90"/>
      <c r="C11" s="26" t="s">
        <v>8</v>
      </c>
      <c r="D11" s="27"/>
      <c r="E11" s="28" t="s">
        <v>9</v>
      </c>
      <c r="F11" s="91" t="s">
        <v>10</v>
      </c>
      <c r="G11" s="91" t="s">
        <v>11</v>
      </c>
      <c r="H11" s="93" t="s">
        <v>12</v>
      </c>
      <c r="I11" s="93"/>
      <c r="J11" s="93"/>
      <c r="K11" s="93"/>
      <c r="L11" s="93"/>
      <c r="M11" s="93"/>
      <c r="N11" s="93"/>
    </row>
    <row r="12" spans="1:14" ht="24">
      <c r="A12" s="29" t="s">
        <v>13</v>
      </c>
      <c r="B12" s="29" t="s">
        <v>14</v>
      </c>
      <c r="C12" s="30" t="s">
        <v>15</v>
      </c>
      <c r="D12" s="31"/>
      <c r="E12" s="32" t="s">
        <v>16</v>
      </c>
      <c r="F12" s="92"/>
      <c r="G12" s="92"/>
      <c r="H12" s="33" t="s">
        <v>17</v>
      </c>
      <c r="I12" s="34" t="s">
        <v>18</v>
      </c>
      <c r="J12" s="35" t="s">
        <v>19</v>
      </c>
      <c r="K12" s="94" t="s">
        <v>20</v>
      </c>
      <c r="L12" s="95"/>
      <c r="M12" s="36" t="s">
        <v>21</v>
      </c>
      <c r="N12" s="37" t="s">
        <v>22</v>
      </c>
    </row>
    <row r="13" spans="1:14">
      <c r="A13" s="38">
        <v>43831</v>
      </c>
      <c r="B13" s="39">
        <f>DATE(YEAR(Fam_Desde),MONTH(Fam_Desde)+1,)</f>
        <v>43861</v>
      </c>
      <c r="C13" s="40"/>
      <c r="D13" s="41"/>
      <c r="E13" s="42"/>
      <c r="F13" s="43"/>
      <c r="G13" s="43"/>
      <c r="H13" s="44">
        <f>E8</f>
        <v>280900</v>
      </c>
      <c r="I13" s="45"/>
      <c r="J13" s="46">
        <f>E9</f>
        <v>0</v>
      </c>
      <c r="K13" s="47" t="s">
        <v>23</v>
      </c>
      <c r="L13" s="48" t="s">
        <v>24</v>
      </c>
      <c r="M13" s="46">
        <f>J13</f>
        <v>0</v>
      </c>
      <c r="N13" s="49"/>
    </row>
    <row r="14" spans="1:14">
      <c r="A14" s="50">
        <f>Fam_Desde</f>
        <v>43831</v>
      </c>
      <c r="B14" s="50">
        <f>Fam_Hasta</f>
        <v>43861</v>
      </c>
      <c r="C14" s="51"/>
      <c r="D14" s="52">
        <f>Primera_Cuota</f>
        <v>0</v>
      </c>
      <c r="E14" s="52">
        <v>280900</v>
      </c>
      <c r="F14" s="43"/>
      <c r="G14" s="43"/>
      <c r="H14" s="53">
        <f>MIN(H13,N13)+SUM(E14:G14)</f>
        <v>561800</v>
      </c>
      <c r="I14" s="45">
        <f t="shared" ref="I14:I26" si="0">IF(B14&gt;Int_Has,"0",DAYS360(A14,B14+(1)))</f>
        <v>30</v>
      </c>
      <c r="J14" s="54">
        <f t="shared" ref="J14:J25" si="1">IF(B14&gt;Int_Has,"0",IF(A14="","",IF(H14&lt;0,"0",((H14*B$7)/30)*I14)))</f>
        <v>2809</v>
      </c>
      <c r="K14" s="43"/>
      <c r="L14" s="55"/>
      <c r="M14" s="56">
        <f t="shared" ref="M14:M25" si="2">IF(M13&lt;0,J14-K14,M13+J14-K14)</f>
        <v>2809</v>
      </c>
      <c r="N14" s="57">
        <f t="shared" ref="N14:N25" si="3">SUM(N13,(E14:G14),J14)-K14</f>
        <v>283709</v>
      </c>
    </row>
    <row r="15" spans="1:14">
      <c r="A15" s="50">
        <f>DATE(YEAR(B14),MONTH(B14),DAY(B14)+1)</f>
        <v>43862</v>
      </c>
      <c r="B15" s="50">
        <f>IF(A15=DATE(YEAR(Int_Has),MONTH(Int_Has),DAY(1)),DATE(YEAR(Int_Has),MONTH(Int_Has),DAY(Int_Has)),DATE(YEAR(A15),MONTH(A15)+1,))</f>
        <v>43890</v>
      </c>
      <c r="C15" s="51"/>
      <c r="D15" s="52">
        <f t="shared" ref="D15:D25" si="4">IF(B15&gt;Int_Has,"0",IF(AND(MONTH(A15)=E$6,DAY(A15)=1),(D14*C15)+D14,D14))</f>
        <v>0</v>
      </c>
      <c r="E15" s="52">
        <v>280900</v>
      </c>
      <c r="F15" s="52"/>
      <c r="G15" s="43"/>
      <c r="H15" s="53">
        <f t="shared" ref="H15:H20" si="5">MIN(H14,N14)+SUM(E15:G15)</f>
        <v>564609</v>
      </c>
      <c r="I15" s="45">
        <f t="shared" si="0"/>
        <v>30</v>
      </c>
      <c r="J15" s="54">
        <f t="shared" si="1"/>
        <v>2823.0450000000001</v>
      </c>
      <c r="K15" s="43"/>
      <c r="L15" s="55"/>
      <c r="M15" s="56">
        <f t="shared" si="2"/>
        <v>5632.0450000000001</v>
      </c>
      <c r="N15" s="57">
        <f t="shared" si="3"/>
        <v>567432.04500000004</v>
      </c>
    </row>
    <row r="16" spans="1:14">
      <c r="A16" s="50">
        <f t="shared" ref="A16:A25" si="6">DATE(YEAR(B15),MONTH(B15),DAY(B15)+1)</f>
        <v>43891</v>
      </c>
      <c r="B16" s="50">
        <f t="shared" ref="B16:B26" si="7">IF(A16=DATE(YEAR(Int_Has),MONTH(Int_Has),DAY(1)),DATE(YEAR(Int_Has),MONTH(Int_Has),DAY(Int_Has)),DATE(YEAR(A16),MONTH(A16)+1,))</f>
        <v>43921</v>
      </c>
      <c r="C16" s="51"/>
      <c r="D16" s="52">
        <f t="shared" si="4"/>
        <v>0</v>
      </c>
      <c r="E16" s="52">
        <v>280900</v>
      </c>
      <c r="F16" s="18"/>
      <c r="G16" s="43"/>
      <c r="H16" s="53">
        <f t="shared" si="5"/>
        <v>845509</v>
      </c>
      <c r="I16" s="45">
        <f t="shared" si="0"/>
        <v>30</v>
      </c>
      <c r="J16" s="54">
        <f t="shared" si="1"/>
        <v>4227.5450000000001</v>
      </c>
      <c r="K16" s="43"/>
      <c r="L16" s="55"/>
      <c r="M16" s="56">
        <f t="shared" si="2"/>
        <v>9859.59</v>
      </c>
      <c r="N16" s="57">
        <f t="shared" si="3"/>
        <v>852559.59000000008</v>
      </c>
    </row>
    <row r="17" spans="1:14">
      <c r="A17" s="50">
        <f t="shared" si="6"/>
        <v>43922</v>
      </c>
      <c r="B17" s="50">
        <f t="shared" si="7"/>
        <v>43951</v>
      </c>
      <c r="C17" s="51" t="s">
        <v>25</v>
      </c>
      <c r="D17" s="52">
        <f t="shared" si="4"/>
        <v>0</v>
      </c>
      <c r="E17" s="52">
        <v>280900</v>
      </c>
      <c r="F17" s="43"/>
      <c r="G17" s="43"/>
      <c r="H17" s="53">
        <f t="shared" si="5"/>
        <v>1126409</v>
      </c>
      <c r="I17" s="45">
        <f t="shared" si="0"/>
        <v>30</v>
      </c>
      <c r="J17" s="54">
        <f t="shared" si="1"/>
        <v>5632.0450000000001</v>
      </c>
      <c r="K17" s="43"/>
      <c r="L17" s="55"/>
      <c r="M17" s="56">
        <f t="shared" si="2"/>
        <v>15491.635</v>
      </c>
      <c r="N17" s="57">
        <f t="shared" si="3"/>
        <v>1139091.635</v>
      </c>
    </row>
    <row r="18" spans="1:14">
      <c r="A18" s="50">
        <f t="shared" si="6"/>
        <v>43952</v>
      </c>
      <c r="B18" s="50">
        <f t="shared" si="7"/>
        <v>43982</v>
      </c>
      <c r="C18" s="51"/>
      <c r="D18" s="52">
        <f t="shared" si="4"/>
        <v>0</v>
      </c>
      <c r="E18" s="52">
        <v>280900</v>
      </c>
      <c r="F18" s="52"/>
      <c r="G18" s="43"/>
      <c r="H18" s="53">
        <f t="shared" si="5"/>
        <v>1407309</v>
      </c>
      <c r="I18" s="45">
        <f t="shared" si="0"/>
        <v>30</v>
      </c>
      <c r="J18" s="54">
        <f t="shared" si="1"/>
        <v>7036.5450000000001</v>
      </c>
      <c r="K18" s="43"/>
      <c r="L18" s="55"/>
      <c r="M18" s="56">
        <f t="shared" si="2"/>
        <v>22528.18</v>
      </c>
      <c r="N18" s="57">
        <f t="shared" si="3"/>
        <v>1427028.18</v>
      </c>
    </row>
    <row r="19" spans="1:14">
      <c r="A19" s="50">
        <f t="shared" si="6"/>
        <v>43983</v>
      </c>
      <c r="B19" s="50">
        <f t="shared" si="7"/>
        <v>44012</v>
      </c>
      <c r="C19" s="51"/>
      <c r="D19" s="52">
        <f t="shared" si="4"/>
        <v>0</v>
      </c>
      <c r="E19" s="52">
        <v>280900</v>
      </c>
      <c r="F19" s="43">
        <v>168540</v>
      </c>
      <c r="G19" s="43"/>
      <c r="H19" s="53">
        <f t="shared" si="5"/>
        <v>1856749</v>
      </c>
      <c r="I19" s="45">
        <f t="shared" si="0"/>
        <v>30</v>
      </c>
      <c r="J19" s="54">
        <f t="shared" si="1"/>
        <v>9283.7450000000008</v>
      </c>
      <c r="K19" s="43"/>
      <c r="L19" s="55"/>
      <c r="M19" s="56">
        <f t="shared" si="2"/>
        <v>31811.925000000003</v>
      </c>
      <c r="N19" s="57">
        <f t="shared" si="3"/>
        <v>1885751.925</v>
      </c>
    </row>
    <row r="20" spans="1:14">
      <c r="A20" s="50">
        <f t="shared" si="6"/>
        <v>44013</v>
      </c>
      <c r="B20" s="50">
        <f t="shared" si="7"/>
        <v>44043</v>
      </c>
      <c r="C20" s="51"/>
      <c r="D20" s="52">
        <f t="shared" si="4"/>
        <v>0</v>
      </c>
      <c r="E20" s="52">
        <v>280900</v>
      </c>
      <c r="F20" s="43"/>
      <c r="G20" s="43"/>
      <c r="H20" s="53">
        <f t="shared" si="5"/>
        <v>2137649</v>
      </c>
      <c r="I20" s="45">
        <f t="shared" si="0"/>
        <v>30</v>
      </c>
      <c r="J20" s="54">
        <f t="shared" si="1"/>
        <v>10688.245000000001</v>
      </c>
      <c r="K20" s="43"/>
      <c r="L20" s="55"/>
      <c r="M20" s="56">
        <f t="shared" si="2"/>
        <v>42500.170000000006</v>
      </c>
      <c r="N20" s="57">
        <f t="shared" si="3"/>
        <v>2177340.17</v>
      </c>
    </row>
    <row r="21" spans="1:14">
      <c r="A21" s="50">
        <f t="shared" si="6"/>
        <v>44044</v>
      </c>
      <c r="B21" s="50">
        <f t="shared" si="7"/>
        <v>44074</v>
      </c>
      <c r="C21" s="51"/>
      <c r="D21" s="52">
        <f t="shared" si="4"/>
        <v>0</v>
      </c>
      <c r="E21" s="52">
        <v>280900</v>
      </c>
      <c r="F21" s="52"/>
      <c r="G21" s="43"/>
      <c r="H21" s="53">
        <f t="shared" ref="H21:H26" si="8">MIN(H20,N20)+SUM(E21:G21)</f>
        <v>2418549</v>
      </c>
      <c r="I21" s="45">
        <f t="shared" si="0"/>
        <v>30</v>
      </c>
      <c r="J21" s="54">
        <f t="shared" si="1"/>
        <v>12092.745000000001</v>
      </c>
      <c r="K21" s="43"/>
      <c r="L21" s="55"/>
      <c r="M21" s="56">
        <f t="shared" si="2"/>
        <v>54592.915000000008</v>
      </c>
      <c r="N21" s="57">
        <f t="shared" si="3"/>
        <v>2470332.915</v>
      </c>
    </row>
    <row r="22" spans="1:14">
      <c r="A22" s="50">
        <f t="shared" si="6"/>
        <v>44075</v>
      </c>
      <c r="B22" s="50">
        <f t="shared" si="7"/>
        <v>44104</v>
      </c>
      <c r="C22" s="51"/>
      <c r="D22" s="52">
        <f t="shared" si="4"/>
        <v>0</v>
      </c>
      <c r="E22" s="52">
        <v>280900</v>
      </c>
      <c r="F22" s="43"/>
      <c r="G22" s="43"/>
      <c r="H22" s="53">
        <f t="shared" si="8"/>
        <v>2699449</v>
      </c>
      <c r="I22" s="45">
        <f t="shared" si="0"/>
        <v>30</v>
      </c>
      <c r="J22" s="54">
        <f t="shared" si="1"/>
        <v>13497.245000000001</v>
      </c>
      <c r="K22" s="43"/>
      <c r="L22" s="55"/>
      <c r="M22" s="56">
        <f t="shared" si="2"/>
        <v>68090.16</v>
      </c>
      <c r="N22" s="57">
        <f t="shared" si="3"/>
        <v>2764730.16</v>
      </c>
    </row>
    <row r="23" spans="1:14">
      <c r="A23" s="50">
        <f t="shared" si="6"/>
        <v>44105</v>
      </c>
      <c r="B23" s="50">
        <f t="shared" si="7"/>
        <v>44135</v>
      </c>
      <c r="C23" s="51"/>
      <c r="D23" s="52">
        <f t="shared" si="4"/>
        <v>0</v>
      </c>
      <c r="E23" s="52">
        <v>280900</v>
      </c>
      <c r="F23" s="43"/>
      <c r="G23" s="43"/>
      <c r="H23" s="53">
        <f t="shared" si="8"/>
        <v>2980349</v>
      </c>
      <c r="I23" s="45">
        <f t="shared" si="0"/>
        <v>30</v>
      </c>
      <c r="J23" s="54">
        <f t="shared" si="1"/>
        <v>14901.745000000001</v>
      </c>
      <c r="K23" s="43"/>
      <c r="L23" s="55"/>
      <c r="M23" s="56">
        <f t="shared" si="2"/>
        <v>82991.904999999999</v>
      </c>
      <c r="N23" s="57">
        <f t="shared" si="3"/>
        <v>3060531.9050000003</v>
      </c>
    </row>
    <row r="24" spans="1:14">
      <c r="A24" s="50">
        <f t="shared" si="6"/>
        <v>44136</v>
      </c>
      <c r="B24" s="50">
        <f t="shared" si="7"/>
        <v>44165</v>
      </c>
      <c r="C24" s="51"/>
      <c r="D24" s="52">
        <f t="shared" si="4"/>
        <v>0</v>
      </c>
      <c r="E24" s="52">
        <v>280900</v>
      </c>
      <c r="F24" s="43"/>
      <c r="G24" s="43"/>
      <c r="H24" s="53">
        <f t="shared" si="8"/>
        <v>3261249</v>
      </c>
      <c r="I24" s="45">
        <f t="shared" si="0"/>
        <v>30</v>
      </c>
      <c r="J24" s="54">
        <f t="shared" si="1"/>
        <v>16306.245000000001</v>
      </c>
      <c r="K24" s="43"/>
      <c r="L24" s="55"/>
      <c r="M24" s="56">
        <f t="shared" si="2"/>
        <v>99298.15</v>
      </c>
      <c r="N24" s="57">
        <f t="shared" si="3"/>
        <v>3357738.1500000004</v>
      </c>
    </row>
    <row r="25" spans="1:14">
      <c r="A25" s="50">
        <f t="shared" si="6"/>
        <v>44166</v>
      </c>
      <c r="B25" s="50">
        <f t="shared" si="7"/>
        <v>44196</v>
      </c>
      <c r="C25" s="51"/>
      <c r="D25" s="52">
        <f t="shared" si="4"/>
        <v>0</v>
      </c>
      <c r="E25" s="52">
        <v>280900</v>
      </c>
      <c r="F25" s="43">
        <v>337080</v>
      </c>
      <c r="G25" s="43"/>
      <c r="H25" s="53">
        <f t="shared" si="8"/>
        <v>3879229</v>
      </c>
      <c r="I25" s="45">
        <f t="shared" si="0"/>
        <v>30</v>
      </c>
      <c r="J25" s="54">
        <f t="shared" si="1"/>
        <v>19396.145</v>
      </c>
      <c r="K25" s="43"/>
      <c r="L25" s="55"/>
      <c r="M25" s="56">
        <f t="shared" si="2"/>
        <v>118694.295</v>
      </c>
      <c r="N25" s="57">
        <f t="shared" si="3"/>
        <v>3995114.2950000004</v>
      </c>
    </row>
    <row r="26" spans="1:14">
      <c r="A26" s="50">
        <f>DATE(YEAR(B25),MONTH(B25),DAY(B25)+1)</f>
        <v>44197</v>
      </c>
      <c r="B26" s="50">
        <f t="shared" si="7"/>
        <v>44227</v>
      </c>
      <c r="C26" s="51"/>
      <c r="D26" s="52">
        <f t="shared" ref="D26:D31" si="9">IF(B26&gt;Int_Has,"0",IF(AND(MONTH(A26)=E$6,DAY(A26)=1),(D25*C26)+D25,D25))</f>
        <v>0</v>
      </c>
      <c r="E26" s="52">
        <v>290731</v>
      </c>
      <c r="F26" s="43"/>
      <c r="G26" s="43"/>
      <c r="H26" s="53">
        <f t="shared" si="8"/>
        <v>4169960</v>
      </c>
      <c r="I26" s="45">
        <f t="shared" si="0"/>
        <v>30</v>
      </c>
      <c r="J26" s="54">
        <f t="shared" ref="J26:J32" si="10">IF(B26&gt;Int_Has,"0",IF(A26="","",IF(H26&lt;0,"0",((H26*B$7)/30)*I26)))</f>
        <v>20849.8</v>
      </c>
      <c r="K26" s="43"/>
      <c r="L26" s="55"/>
      <c r="M26" s="56">
        <f>IF(M25&lt;0,J26-K26,M25+J26-K26)</f>
        <v>139544.095</v>
      </c>
      <c r="N26" s="57">
        <f>SUM(N25,(E26:G26),J26)-K26</f>
        <v>4306695.0949999997</v>
      </c>
    </row>
    <row r="27" spans="1:14">
      <c r="A27" s="50">
        <f t="shared" ref="A27:A31" si="11">DATE(YEAR(B26),MONTH(B26),DAY(B26)+1)</f>
        <v>44228</v>
      </c>
      <c r="B27" s="50">
        <f t="shared" ref="B27:B28" si="12">IF(A27=DATE(YEAR(Int_Has),MONTH(Int_Has),DAY(1)),DATE(YEAR(Int_Has),MONTH(Int_Has),DAY(Int_Has)),DATE(YEAR(A27),MONTH(A27)+1,))</f>
        <v>44255</v>
      </c>
      <c r="C27" s="51"/>
      <c r="D27" s="52">
        <f t="shared" si="9"/>
        <v>0</v>
      </c>
      <c r="E27" s="52">
        <v>290731</v>
      </c>
      <c r="F27" s="43"/>
      <c r="G27" s="43"/>
      <c r="H27" s="53">
        <f t="shared" ref="H27:H28" si="13">MIN(H26,N26)+SUM(E27:G27)</f>
        <v>4460691</v>
      </c>
      <c r="I27" s="45">
        <f t="shared" ref="I27:I30" si="14">IF(B27&gt;Int_Has,"0",DAYS360(A27,B27+(1)))</f>
        <v>30</v>
      </c>
      <c r="J27" s="54">
        <f t="shared" si="10"/>
        <v>22303.455000000002</v>
      </c>
      <c r="K27" s="43"/>
      <c r="L27" s="55"/>
      <c r="M27" s="56">
        <f t="shared" ref="M27:M28" si="15">IF(M26&lt;0,J27-K27,M26+J27-K27)</f>
        <v>161847.54999999999</v>
      </c>
      <c r="N27" s="57">
        <f t="shared" ref="N27:N28" si="16">SUM(N26,(E27:G27),J27)-K27</f>
        <v>4619729.55</v>
      </c>
    </row>
    <row r="28" spans="1:14">
      <c r="A28" s="50">
        <f t="shared" si="11"/>
        <v>44256</v>
      </c>
      <c r="B28" s="50">
        <f t="shared" si="12"/>
        <v>44286</v>
      </c>
      <c r="C28" s="51"/>
      <c r="D28" s="52">
        <f t="shared" si="9"/>
        <v>0</v>
      </c>
      <c r="E28" s="52">
        <v>290731</v>
      </c>
      <c r="F28" s="43"/>
      <c r="G28" s="43"/>
      <c r="H28" s="53">
        <f t="shared" si="13"/>
        <v>4751422</v>
      </c>
      <c r="I28" s="45">
        <f t="shared" si="14"/>
        <v>30</v>
      </c>
      <c r="J28" s="54">
        <f t="shared" si="10"/>
        <v>23757.11</v>
      </c>
      <c r="K28" s="43"/>
      <c r="L28" s="55"/>
      <c r="M28" s="56">
        <f t="shared" si="15"/>
        <v>185604.65999999997</v>
      </c>
      <c r="N28" s="57">
        <f t="shared" si="16"/>
        <v>4934217.66</v>
      </c>
    </row>
    <row r="29" spans="1:14">
      <c r="A29" s="50">
        <f t="shared" si="11"/>
        <v>44287</v>
      </c>
      <c r="B29" s="50">
        <f t="shared" ref="B29" si="17">IF(A29=DATE(YEAR(Int_Has),MONTH(Int_Has),DAY(1)),DATE(YEAR(Int_Has),MONTH(Int_Has),DAY(Int_Has)),DATE(YEAR(A29),MONTH(A29)+1,))</f>
        <v>44316</v>
      </c>
      <c r="C29" s="51" t="s">
        <v>26</v>
      </c>
      <c r="D29" s="52">
        <f t="shared" si="9"/>
        <v>0</v>
      </c>
      <c r="E29" s="52">
        <v>290731</v>
      </c>
      <c r="F29" s="43"/>
      <c r="G29" s="43"/>
      <c r="H29" s="53">
        <f t="shared" ref="H29" si="18">MIN(H28,N28)+SUM(E29:G29)</f>
        <v>5042153</v>
      </c>
      <c r="I29" s="45">
        <f t="shared" si="14"/>
        <v>30</v>
      </c>
      <c r="J29" s="54">
        <f t="shared" si="10"/>
        <v>25210.764999999999</v>
      </c>
      <c r="K29" s="43"/>
      <c r="L29" s="55"/>
      <c r="M29" s="56">
        <f t="shared" ref="M29" si="19">IF(M28&lt;0,J29-K29,M28+J29-K29)</f>
        <v>210815.42499999999</v>
      </c>
      <c r="N29" s="57">
        <f t="shared" ref="N29" si="20">SUM(N28,(E29:G29),J29)-K29</f>
        <v>5250159.4249999998</v>
      </c>
    </row>
    <row r="30" spans="1:14">
      <c r="A30" s="50">
        <f t="shared" si="11"/>
        <v>44317</v>
      </c>
      <c r="B30" s="50">
        <f t="shared" ref="B30" si="21">IF(A30=DATE(YEAR(Int_Has),MONTH(Int_Has),DAY(1)),DATE(YEAR(Int_Has),MONTH(Int_Has),DAY(Int_Has)),DATE(YEAR(A30),MONTH(A30)+1,))</f>
        <v>44347</v>
      </c>
      <c r="C30" s="51"/>
      <c r="D30" s="52">
        <f t="shared" si="9"/>
        <v>0</v>
      </c>
      <c r="E30" s="52">
        <v>290731</v>
      </c>
      <c r="F30" s="43"/>
      <c r="G30" s="43"/>
      <c r="H30" s="53">
        <f t="shared" ref="H30" si="22">MIN(H29,N29)+SUM(E30:G30)</f>
        <v>5332884</v>
      </c>
      <c r="I30" s="45">
        <f t="shared" si="14"/>
        <v>30</v>
      </c>
      <c r="J30" s="54">
        <f t="shared" si="10"/>
        <v>26664.420000000002</v>
      </c>
      <c r="K30" s="43"/>
      <c r="L30" s="55"/>
      <c r="M30" s="56">
        <f t="shared" ref="M30" si="23">IF(M29&lt;0,J30-K30,M29+J30-K30)</f>
        <v>237479.845</v>
      </c>
      <c r="N30" s="57">
        <f t="shared" ref="N30" si="24">SUM(N29,(E30:G30),J30)-K30</f>
        <v>5567554.8449999997</v>
      </c>
    </row>
    <row r="31" spans="1:14">
      <c r="A31" s="50">
        <f t="shared" si="11"/>
        <v>44348</v>
      </c>
      <c r="B31" s="50">
        <f t="shared" ref="B31" si="25">IF(A31=DATE(YEAR(Int_Has),MONTH(Int_Has),DAY(1)),DATE(YEAR(Int_Has),MONTH(Int_Has),DAY(Int_Has)),DATE(YEAR(A31),MONTH(A31)+1,))</f>
        <v>44377</v>
      </c>
      <c r="C31" s="51"/>
      <c r="D31" s="52">
        <f t="shared" si="9"/>
        <v>0</v>
      </c>
      <c r="E31" s="52">
        <v>290731</v>
      </c>
      <c r="F31" s="43">
        <v>174439</v>
      </c>
      <c r="G31" s="43"/>
      <c r="H31" s="53">
        <f t="shared" ref="H31" si="26">MIN(H30,N30)+SUM(E31:G31)</f>
        <v>5798054</v>
      </c>
      <c r="I31" s="45">
        <f t="shared" ref="I31" si="27">IF(B31&gt;Int_Has,"0",DAYS360(A31,B31+(1)))</f>
        <v>30</v>
      </c>
      <c r="J31" s="54">
        <f t="shared" si="10"/>
        <v>28990.27</v>
      </c>
      <c r="K31" s="43"/>
      <c r="L31" s="55"/>
      <c r="M31" s="56">
        <f t="shared" ref="M31" si="28">IF(M30&lt;0,J31-K31,M30+J31-K31)</f>
        <v>266470.11499999999</v>
      </c>
      <c r="N31" s="57">
        <f t="shared" ref="N31" si="29">SUM(N30,(E31:G31),J31)-K31</f>
        <v>6061715.1149999993</v>
      </c>
    </row>
    <row r="32" spans="1:14">
      <c r="A32" s="50">
        <f>DATE(YEAR(B31),MONTH(B31),DAY(B31)+1)</f>
        <v>44378</v>
      </c>
      <c r="B32" s="50">
        <f t="shared" ref="B32" si="30">IF(A32=DATE(YEAR(Int_Has),MONTH(Int_Has),DAY(1)),DATE(YEAR(Int_Has),MONTH(Int_Has),DAY(Int_Has)),DATE(YEAR(A32),MONTH(A32)+1,))</f>
        <v>44408</v>
      </c>
      <c r="C32" s="51"/>
      <c r="D32" s="52">
        <f t="shared" ref="D32:D40" si="31">IF(B32&gt;Int_Has,"0",IF(AND(MONTH(A32)=E$6,DAY(A32)=1),(D31*C32)+D31,D31))</f>
        <v>0</v>
      </c>
      <c r="E32" s="52">
        <v>290731</v>
      </c>
      <c r="F32" s="43"/>
      <c r="G32" s="43"/>
      <c r="H32" s="53">
        <f>MIN(H31,N31)+SUM(E32:G32)</f>
        <v>6088785</v>
      </c>
      <c r="I32" s="45">
        <f t="shared" ref="I32" si="32">IF(B32&gt;Int_Has,"0",DAYS360(A32,B32+(1)))</f>
        <v>30</v>
      </c>
      <c r="J32" s="54">
        <f t="shared" si="10"/>
        <v>30443.924999999999</v>
      </c>
      <c r="K32" s="43"/>
      <c r="L32" s="55"/>
      <c r="M32" s="56">
        <f>IF(M31&lt;0,J32-K32,M31+J32-K32)</f>
        <v>296914.03999999998</v>
      </c>
      <c r="N32" s="57">
        <f>SUM(N31,(E32:G32),J32)-K32</f>
        <v>6382890.0399999991</v>
      </c>
    </row>
    <row r="33" spans="1:14">
      <c r="A33" s="50">
        <f t="shared" ref="A33:A40" si="33">DATE(YEAR(B32),MONTH(B32),DAY(B32)+1)</f>
        <v>44409</v>
      </c>
      <c r="B33" s="50">
        <f t="shared" ref="B33:B40" si="34">IF(A33=DATE(YEAR(Int_Has),MONTH(Int_Has),DAY(1)),DATE(YEAR(Int_Has),MONTH(Int_Has),DAY(Int_Has)),DATE(YEAR(A33),MONTH(A33)+1,))</f>
        <v>44439</v>
      </c>
      <c r="C33" s="51"/>
      <c r="D33" s="52">
        <f t="shared" si="31"/>
        <v>0</v>
      </c>
      <c r="E33" s="52">
        <v>290731</v>
      </c>
      <c r="F33" s="43"/>
      <c r="G33" s="43"/>
      <c r="H33" s="53">
        <f t="shared" ref="H33:H40" si="35">MIN(H32,N32)+SUM(E33:G33)</f>
        <v>6379516</v>
      </c>
      <c r="I33" s="45">
        <f t="shared" ref="I33:I40" si="36">IF(B33&gt;Int_Has,"0",DAYS360(A33,B33+(1)))</f>
        <v>30</v>
      </c>
      <c r="J33" s="54">
        <f t="shared" ref="J33:J40" si="37">IF(B33&gt;Int_Has,"0",IF(A33="","",IF(H33&lt;0,"0",((H33*B$7)/30)*I33)))</f>
        <v>31897.58</v>
      </c>
      <c r="K33" s="43"/>
      <c r="L33" s="55"/>
      <c r="M33" s="56">
        <f t="shared" ref="M33:M40" si="38">IF(M32&lt;0,J33-K33,M32+J33-K33)</f>
        <v>328811.62</v>
      </c>
      <c r="N33" s="57">
        <f t="shared" ref="N33:N40" si="39">SUM(N32,(E33:G33),J33)-K33</f>
        <v>6705518.6199999992</v>
      </c>
    </row>
    <row r="34" spans="1:14">
      <c r="A34" s="50">
        <f t="shared" si="33"/>
        <v>44440</v>
      </c>
      <c r="B34" s="50">
        <f t="shared" si="34"/>
        <v>44469</v>
      </c>
      <c r="C34" s="51"/>
      <c r="D34" s="52">
        <f t="shared" si="31"/>
        <v>0</v>
      </c>
      <c r="E34" s="52">
        <v>290731</v>
      </c>
      <c r="F34" s="43"/>
      <c r="G34" s="43"/>
      <c r="H34" s="53">
        <f t="shared" si="35"/>
        <v>6670247</v>
      </c>
      <c r="I34" s="45">
        <f t="shared" si="36"/>
        <v>30</v>
      </c>
      <c r="J34" s="54">
        <f t="shared" si="37"/>
        <v>33351.235000000001</v>
      </c>
      <c r="K34" s="43"/>
      <c r="L34" s="55"/>
      <c r="M34" s="56">
        <f t="shared" si="38"/>
        <v>362162.85499999998</v>
      </c>
      <c r="N34" s="57">
        <f t="shared" si="39"/>
        <v>7029600.8549999995</v>
      </c>
    </row>
    <row r="35" spans="1:14">
      <c r="A35" s="50">
        <f t="shared" si="33"/>
        <v>44470</v>
      </c>
      <c r="B35" s="50">
        <f t="shared" si="34"/>
        <v>44500</v>
      </c>
      <c r="C35" s="51"/>
      <c r="D35" s="52">
        <f t="shared" si="31"/>
        <v>0</v>
      </c>
      <c r="E35" s="52">
        <v>290731</v>
      </c>
      <c r="F35" s="43"/>
      <c r="G35" s="43"/>
      <c r="H35" s="53">
        <f t="shared" si="35"/>
        <v>6960978</v>
      </c>
      <c r="I35" s="45">
        <f t="shared" si="36"/>
        <v>30</v>
      </c>
      <c r="J35" s="54">
        <f t="shared" si="37"/>
        <v>34804.89</v>
      </c>
      <c r="K35" s="43"/>
      <c r="L35" s="55"/>
      <c r="M35" s="56">
        <f t="shared" si="38"/>
        <v>396967.745</v>
      </c>
      <c r="N35" s="57">
        <f t="shared" si="39"/>
        <v>7355136.7449999992</v>
      </c>
    </row>
    <row r="36" spans="1:14">
      <c r="A36" s="50">
        <f t="shared" si="33"/>
        <v>44501</v>
      </c>
      <c r="B36" s="50">
        <f t="shared" si="34"/>
        <v>44530</v>
      </c>
      <c r="C36" s="51"/>
      <c r="D36" s="52">
        <f t="shared" si="31"/>
        <v>0</v>
      </c>
      <c r="E36" s="52">
        <v>290731</v>
      </c>
      <c r="F36" s="43"/>
      <c r="G36" s="43"/>
      <c r="H36" s="53">
        <f t="shared" si="35"/>
        <v>7251709</v>
      </c>
      <c r="I36" s="45">
        <f t="shared" si="36"/>
        <v>30</v>
      </c>
      <c r="J36" s="54">
        <f t="shared" si="37"/>
        <v>36258.544999999998</v>
      </c>
      <c r="K36" s="43"/>
      <c r="L36" s="55"/>
      <c r="M36" s="56">
        <f t="shared" si="38"/>
        <v>433226.29</v>
      </c>
      <c r="N36" s="57">
        <f t="shared" si="39"/>
        <v>7682126.2899999991</v>
      </c>
    </row>
    <row r="37" spans="1:14">
      <c r="A37" s="50">
        <f t="shared" si="33"/>
        <v>44531</v>
      </c>
      <c r="B37" s="50">
        <f t="shared" si="34"/>
        <v>44561</v>
      </c>
      <c r="C37" s="51"/>
      <c r="D37" s="52">
        <f t="shared" si="31"/>
        <v>0</v>
      </c>
      <c r="E37" s="52">
        <v>290731</v>
      </c>
      <c r="F37" s="43">
        <v>343619</v>
      </c>
      <c r="G37" s="43"/>
      <c r="H37" s="53">
        <f t="shared" si="35"/>
        <v>7886059</v>
      </c>
      <c r="I37" s="45">
        <f t="shared" si="36"/>
        <v>30</v>
      </c>
      <c r="J37" s="54">
        <f t="shared" si="37"/>
        <v>39430.294999999998</v>
      </c>
      <c r="K37" s="43"/>
      <c r="L37" s="55"/>
      <c r="M37" s="56">
        <f t="shared" si="38"/>
        <v>472656.58499999996</v>
      </c>
      <c r="N37" s="57">
        <f t="shared" si="39"/>
        <v>8355906.584999999</v>
      </c>
    </row>
    <row r="38" spans="1:14">
      <c r="A38" s="50">
        <f t="shared" si="33"/>
        <v>44562</v>
      </c>
      <c r="B38" s="50">
        <f t="shared" si="34"/>
        <v>44592</v>
      </c>
      <c r="C38" s="51"/>
      <c r="D38" s="52">
        <f t="shared" si="31"/>
        <v>0</v>
      </c>
      <c r="E38" s="52">
        <v>307074</v>
      </c>
      <c r="F38" s="43"/>
      <c r="G38" s="43"/>
      <c r="H38" s="53">
        <f t="shared" si="35"/>
        <v>8193133</v>
      </c>
      <c r="I38" s="45">
        <f t="shared" si="36"/>
        <v>30</v>
      </c>
      <c r="J38" s="54">
        <f t="shared" si="37"/>
        <v>40965.665000000001</v>
      </c>
      <c r="K38" s="43"/>
      <c r="L38" s="55"/>
      <c r="M38" s="56">
        <f t="shared" si="38"/>
        <v>513622.24999999994</v>
      </c>
      <c r="N38" s="57">
        <f t="shared" si="39"/>
        <v>8703946.2499999981</v>
      </c>
    </row>
    <row r="39" spans="1:14">
      <c r="A39" s="50">
        <f t="shared" si="33"/>
        <v>44593</v>
      </c>
      <c r="B39" s="50">
        <f t="shared" si="34"/>
        <v>44620</v>
      </c>
      <c r="C39" s="51"/>
      <c r="D39" s="52">
        <f t="shared" si="31"/>
        <v>0</v>
      </c>
      <c r="E39" s="52">
        <v>307074</v>
      </c>
      <c r="F39" s="43"/>
      <c r="G39" s="43"/>
      <c r="H39" s="53">
        <f t="shared" si="35"/>
        <v>8500207</v>
      </c>
      <c r="I39" s="45">
        <f t="shared" si="36"/>
        <v>30</v>
      </c>
      <c r="J39" s="54">
        <f t="shared" si="37"/>
        <v>42501.035000000003</v>
      </c>
      <c r="K39" s="43"/>
      <c r="L39" s="55"/>
      <c r="M39" s="56">
        <f t="shared" si="38"/>
        <v>556123.28499999992</v>
      </c>
      <c r="N39" s="57">
        <f t="shared" si="39"/>
        <v>9053521.2849999983</v>
      </c>
    </row>
    <row r="40" spans="1:14">
      <c r="A40" s="50">
        <f t="shared" si="33"/>
        <v>44621</v>
      </c>
      <c r="B40" s="50">
        <f t="shared" si="34"/>
        <v>44651</v>
      </c>
      <c r="C40" s="51"/>
      <c r="D40" s="52">
        <f t="shared" si="31"/>
        <v>0</v>
      </c>
      <c r="E40" s="52">
        <v>307074</v>
      </c>
      <c r="F40" s="43"/>
      <c r="G40" s="43"/>
      <c r="H40" s="53">
        <f t="shared" si="35"/>
        <v>8807281</v>
      </c>
      <c r="I40" s="45">
        <f t="shared" si="36"/>
        <v>30</v>
      </c>
      <c r="J40" s="54">
        <f t="shared" si="37"/>
        <v>44036.404999999999</v>
      </c>
      <c r="K40" s="43"/>
      <c r="L40" s="55"/>
      <c r="M40" s="56">
        <f t="shared" si="38"/>
        <v>600159.68999999994</v>
      </c>
      <c r="N40" s="57">
        <f t="shared" si="39"/>
        <v>9404631.6899999976</v>
      </c>
    </row>
    <row r="41" spans="1:14">
      <c r="A41" s="50">
        <f t="shared" ref="A41:A42" si="40">DATE(YEAR(B40),MONTH(B40),DAY(B40)+1)</f>
        <v>44652</v>
      </c>
      <c r="B41" s="50">
        <f t="shared" ref="B41:B42" si="41">IF(A41=DATE(YEAR(Int_Has),MONTH(Int_Has),DAY(1)),DATE(YEAR(Int_Has),MONTH(Int_Has),DAY(Int_Has)),DATE(YEAR(A41),MONTH(A41)+1,))</f>
        <v>44681</v>
      </c>
      <c r="C41" s="51"/>
      <c r="D41" s="52">
        <f t="shared" ref="D41:D42" si="42">IF(B41&gt;Int_Has,"0",IF(AND(MONTH(A41)=E$6,DAY(A41)=1),(D40*C41)+D40,D40))</f>
        <v>0</v>
      </c>
      <c r="E41" s="52">
        <v>307075</v>
      </c>
      <c r="F41" s="43"/>
      <c r="G41" s="43"/>
      <c r="H41" s="53">
        <f t="shared" ref="H41:H42" si="43">MIN(H40,N40)+SUM(E41:G41)</f>
        <v>9114356</v>
      </c>
      <c r="I41" s="45">
        <f t="shared" ref="I41:I42" si="44">IF(B41&gt;Int_Has,"0",DAYS360(A41,B41+(1)))</f>
        <v>30</v>
      </c>
      <c r="J41" s="54">
        <f t="shared" ref="J41:J42" si="45">IF(B41&gt;Int_Has,"0",IF(A41="","",IF(H41&lt;0,"0",((H41*B$7)/30)*I41)))</f>
        <v>45571.78</v>
      </c>
      <c r="K41" s="43"/>
      <c r="L41" s="55"/>
      <c r="M41" s="56">
        <f t="shared" ref="M41:M42" si="46">IF(M40&lt;0,J41-K41,M40+J41-K41)</f>
        <v>645731.47</v>
      </c>
      <c r="N41" s="57">
        <f t="shared" ref="N41:N42" si="47">SUM(N40,(E41:G41),J41)-K41</f>
        <v>9757278.4699999969</v>
      </c>
    </row>
    <row r="42" spans="1:14">
      <c r="A42" s="50">
        <f t="shared" si="40"/>
        <v>44682</v>
      </c>
      <c r="B42" s="50">
        <f t="shared" si="41"/>
        <v>44711</v>
      </c>
      <c r="C42" s="51"/>
      <c r="D42" s="52">
        <f t="shared" si="42"/>
        <v>0</v>
      </c>
      <c r="E42" s="52">
        <v>307076</v>
      </c>
      <c r="F42" s="43"/>
      <c r="G42" s="43"/>
      <c r="H42" s="53">
        <f t="shared" si="43"/>
        <v>9421432</v>
      </c>
      <c r="I42" s="45">
        <f t="shared" si="44"/>
        <v>30</v>
      </c>
      <c r="J42" s="54">
        <f t="shared" si="45"/>
        <v>47107.16</v>
      </c>
      <c r="K42" s="43"/>
      <c r="L42" s="55"/>
      <c r="M42" s="56">
        <f t="shared" si="46"/>
        <v>692838.63</v>
      </c>
      <c r="N42" s="57">
        <f t="shared" si="47"/>
        <v>10111461.629999997</v>
      </c>
    </row>
    <row r="43" spans="1:14">
      <c r="A43" s="22"/>
      <c r="B43" s="22"/>
      <c r="D43" s="58">
        <f>SUM(D14:D42)</f>
        <v>0</v>
      </c>
      <c r="E43" s="60">
        <f>SUM(E14:E42)</f>
        <v>8394945</v>
      </c>
      <c r="F43" s="60">
        <f>SUM(F14:F42)</f>
        <v>1023678</v>
      </c>
      <c r="H43" s="65"/>
      <c r="I43" s="45"/>
      <c r="J43" s="58">
        <f>SUM(J14:J42)</f>
        <v>692838.63</v>
      </c>
      <c r="K43" s="60">
        <f>SUM(K14:K42)</f>
        <v>0</v>
      </c>
      <c r="M43" s="66">
        <f>SUM(M14:M42)</f>
        <v>7055276.1199999992</v>
      </c>
      <c r="N43" s="66">
        <f>SUM(N14:N42)</f>
        <v>145263450.11999997</v>
      </c>
    </row>
    <row r="46" spans="1:14">
      <c r="F46" s="59"/>
    </row>
    <row r="47" spans="1:14">
      <c r="J47" s="61" t="s">
        <v>27</v>
      </c>
      <c r="K47" s="61"/>
      <c r="L47" s="61"/>
      <c r="M47" s="62">
        <f>E43</f>
        <v>8394945</v>
      </c>
    </row>
    <row r="48" spans="1:14">
      <c r="J48" s="61" t="s">
        <v>28</v>
      </c>
      <c r="K48" s="61"/>
      <c r="L48" s="61"/>
      <c r="M48" s="62">
        <f>F43</f>
        <v>1023678</v>
      </c>
    </row>
    <row r="49" spans="10:13">
      <c r="J49" s="61" t="s">
        <v>29</v>
      </c>
      <c r="K49" s="61"/>
      <c r="L49" s="61"/>
      <c r="M49" s="62">
        <f>J43</f>
        <v>692838.63</v>
      </c>
    </row>
    <row r="50" spans="10:13">
      <c r="J50" s="61" t="s">
        <v>30</v>
      </c>
      <c r="K50" s="61"/>
      <c r="L50" s="61"/>
      <c r="M50" s="63">
        <v>250000</v>
      </c>
    </row>
    <row r="51" spans="10:13">
      <c r="J51" s="61" t="s">
        <v>31</v>
      </c>
      <c r="K51" s="61"/>
      <c r="L51" s="61"/>
      <c r="M51" s="62">
        <f>SUM(M47:M50)</f>
        <v>10361461.630000001</v>
      </c>
    </row>
    <row r="52" spans="10:13">
      <c r="J52" s="73"/>
      <c r="K52" s="74"/>
      <c r="L52" s="61"/>
      <c r="M52" s="61"/>
    </row>
    <row r="53" spans="10:13">
      <c r="J53" s="61" t="s">
        <v>32</v>
      </c>
      <c r="K53" s="61"/>
      <c r="L53" s="61"/>
      <c r="M53" s="62">
        <f>K43</f>
        <v>0</v>
      </c>
    </row>
    <row r="54" spans="10:13">
      <c r="J54" s="75"/>
      <c r="K54" s="76"/>
      <c r="L54" s="77"/>
      <c r="M54" s="81"/>
    </row>
    <row r="55" spans="10:13">
      <c r="J55" s="78"/>
      <c r="K55" s="79"/>
      <c r="L55" s="80"/>
      <c r="M55" s="82"/>
    </row>
    <row r="56" spans="10:13">
      <c r="J56" s="61" t="s">
        <v>33</v>
      </c>
      <c r="K56" s="61"/>
      <c r="L56" s="61"/>
      <c r="M56" s="64">
        <f>M53-M51</f>
        <v>-10361461.630000001</v>
      </c>
    </row>
  </sheetData>
  <mergeCells count="16">
    <mergeCell ref="J52:K52"/>
    <mergeCell ref="J54:L55"/>
    <mergeCell ref="M54:M55"/>
    <mergeCell ref="A8:C8"/>
    <mergeCell ref="A9:C9"/>
    <mergeCell ref="A11:B11"/>
    <mergeCell ref="F11:F12"/>
    <mergeCell ref="G11:G12"/>
    <mergeCell ref="H11:N11"/>
    <mergeCell ref="K12:L12"/>
    <mergeCell ref="F7:K7"/>
    <mergeCell ref="A1:N1"/>
    <mergeCell ref="A2:N2"/>
    <mergeCell ref="A3:N3"/>
    <mergeCell ref="A5:N5"/>
    <mergeCell ref="A6:C6"/>
  </mergeCells>
  <conditionalFormatting sqref="L14:N17 G16:J16 A14:J14 F15:J15 F17:J17 A15:D16 F23:N24 F18:N18 F19:J22 L19:N22 A25:N28 A29:B29 D29:N29 A18:D24 A17:B17 D17 I43 A30:N42">
    <cfRule type="expression" dxfId="20" priority="22" stopIfTrue="1">
      <formula>IF(ROW(A14)&gt;Fila_Fin_FSL,TRUE,FALSE)</formula>
    </cfRule>
    <cfRule type="expression" dxfId="19" priority="23" stopIfTrue="1">
      <formula>IF(ROW(A14)=Fila_Fin_FSL,TRUE,FALSE)</formula>
    </cfRule>
    <cfRule type="expression" dxfId="18" priority="24" stopIfTrue="1">
      <formula>IF(ROW(A14)&lt;Fila_Fin_FSL,TRUE,FALSE)</formula>
    </cfRule>
  </conditionalFormatting>
  <conditionalFormatting sqref="K14:K17">
    <cfRule type="expression" dxfId="17" priority="19" stopIfTrue="1">
      <formula>IF(ROW(K14)&gt;Fila_Fin_FSL,TRUE,FALSE)</formula>
    </cfRule>
    <cfRule type="expression" dxfId="16" priority="20" stopIfTrue="1">
      <formula>IF(ROW(K14)=Fila_Fin_FSL,TRUE,FALSE)</formula>
    </cfRule>
    <cfRule type="expression" dxfId="15" priority="21" stopIfTrue="1">
      <formula>IF(ROW(K14)&lt;Fila_Fin_FSL,TRUE,FALSE)</formula>
    </cfRule>
  </conditionalFormatting>
  <conditionalFormatting sqref="K19">
    <cfRule type="expression" dxfId="14" priority="16" stopIfTrue="1">
      <formula>IF(ROW(K19)&gt;Fila_Fin_FSL,TRUE,FALSE)</formula>
    </cfRule>
    <cfRule type="expression" dxfId="13" priority="17" stopIfTrue="1">
      <formula>IF(ROW(K19)=Fila_Fin_FSL,TRUE,FALSE)</formula>
    </cfRule>
    <cfRule type="expression" dxfId="12" priority="18" stopIfTrue="1">
      <formula>IF(ROW(K19)&lt;Fila_Fin_FSL,TRUE,FALSE)</formula>
    </cfRule>
  </conditionalFormatting>
  <conditionalFormatting sqref="E15:E24">
    <cfRule type="expression" dxfId="11" priority="13" stopIfTrue="1">
      <formula>IF(ROW(E15)&gt;Fila_Fin_FSL,TRUE,FALSE)</formula>
    </cfRule>
    <cfRule type="expression" dxfId="10" priority="14" stopIfTrue="1">
      <formula>IF(ROW(E15)=Fila_Fin_FSL,TRUE,FALSE)</formula>
    </cfRule>
    <cfRule type="expression" dxfId="9" priority="15" stopIfTrue="1">
      <formula>IF(ROW(E15)&lt;Fila_Fin_FSL,TRUE,FALSE)</formula>
    </cfRule>
  </conditionalFormatting>
  <conditionalFormatting sqref="K20:K22">
    <cfRule type="expression" dxfId="8" priority="10" stopIfTrue="1">
      <formula>IF(ROW(K20)&gt;Fila_Fin_FSL,TRUE,FALSE)</formula>
    </cfRule>
    <cfRule type="expression" dxfId="7" priority="11" stopIfTrue="1">
      <formula>IF(ROW(K20)=Fila_Fin_FSL,TRUE,FALSE)</formula>
    </cfRule>
    <cfRule type="expression" dxfId="6" priority="12" stopIfTrue="1">
      <formula>IF(ROW(K20)&lt;Fila_Fin_FSL,TRUE,FALSE)</formula>
    </cfRule>
  </conditionalFormatting>
  <conditionalFormatting sqref="C29">
    <cfRule type="expression" dxfId="5" priority="7" stopIfTrue="1">
      <formula>IF(ROW(C29)&gt;Fila_Fin_FSL,TRUE,FALSE)</formula>
    </cfRule>
    <cfRule type="expression" dxfId="4" priority="8" stopIfTrue="1">
      <formula>IF(ROW(C29)=Fila_Fin_FSL,TRUE,FALSE)</formula>
    </cfRule>
    <cfRule type="expression" dxfId="3" priority="9" stopIfTrue="1">
      <formula>IF(ROW(C29)&lt;Fila_Fin_FSL,TRUE,FALSE)</formula>
    </cfRule>
  </conditionalFormatting>
  <conditionalFormatting sqref="C17">
    <cfRule type="expression" dxfId="2" priority="4" stopIfTrue="1">
      <formula>IF(ROW(C17)&gt;Fila_Fin_FSL,TRUE,FALSE)</formula>
    </cfRule>
    <cfRule type="expression" dxfId="1" priority="5" stopIfTrue="1">
      <formula>IF(ROW(C17)=Fila_Fin_FSL,TRUE,FALSE)</formula>
    </cfRule>
    <cfRule type="expression" dxfId="0" priority="6" stopIfTrue="1">
      <formula>IF(ROW(C17)&lt;Fila_Fin_FSL,TRUE,FALSE)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Juzgado 10 Familia - Antioquia - Medellín</cp:lastModifiedBy>
  <cp:revision/>
  <dcterms:created xsi:type="dcterms:W3CDTF">2021-05-24T03:28:13Z</dcterms:created>
  <dcterms:modified xsi:type="dcterms:W3CDTF">2022-09-28T21:14:31Z</dcterms:modified>
  <cp:category/>
  <cp:contentStatus/>
</cp:coreProperties>
</file>