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Documentos Andrea\Consultorio 3\Consultorio 4\Tercer Corte\Familia\Sustitución NANCY NIÑO FONTECHA\"/>
    </mc:Choice>
  </mc:AlternateContent>
  <xr:revisionPtr revIDLastSave="0" documentId="13_ncr:1_{DA4E49CF-DD73-4C61-A2D0-708D42F5BD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sumen" sheetId="4" r:id="rId1"/>
    <sheet name="Liquidación" sheetId="2" r:id="rId2"/>
    <sheet name="T. Incremento" sheetId="3" r:id="rId3"/>
    <sheet name="hoja 4" sheetId="1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njDbdgsf2fnB99jj7WHbZpWuDfA=="/>
    </ext>
  </extLst>
</workbook>
</file>

<file path=xl/calcChain.xml><?xml version="1.0" encoding="utf-8"?>
<calcChain xmlns="http://schemas.openxmlformats.org/spreadsheetml/2006/main">
  <c r="H3" i="2" l="1"/>
  <c r="I30" i="1"/>
  <c r="C17" i="4"/>
  <c r="F82" i="2"/>
  <c r="C16" i="4" s="1"/>
  <c r="C14" i="4"/>
  <c r="C82" i="2"/>
  <c r="L3" i="2"/>
  <c r="F108" i="1"/>
  <c r="I108" i="1" s="1"/>
  <c r="F109" i="1"/>
  <c r="H109" i="1" s="1"/>
  <c r="F110" i="1"/>
  <c r="H110" i="1" s="1"/>
  <c r="F111" i="1"/>
  <c r="F112" i="1"/>
  <c r="H112" i="1" s="1"/>
  <c r="F113" i="1"/>
  <c r="F93" i="1"/>
  <c r="I93" i="1" s="1"/>
  <c r="F94" i="1"/>
  <c r="I94" i="1" s="1"/>
  <c r="F95" i="1"/>
  <c r="F96" i="1"/>
  <c r="F97" i="1"/>
  <c r="F98" i="1"/>
  <c r="F99" i="1"/>
  <c r="H99" i="1" s="1"/>
  <c r="F100" i="1"/>
  <c r="F101" i="1"/>
  <c r="H101" i="1" s="1"/>
  <c r="F102" i="1"/>
  <c r="I102" i="1" s="1"/>
  <c r="F103" i="1"/>
  <c r="I103" i="1" s="1"/>
  <c r="F104" i="1"/>
  <c r="F78" i="1"/>
  <c r="H78" i="1" s="1"/>
  <c r="F79" i="1"/>
  <c r="H79" i="1" s="1"/>
  <c r="F80" i="1"/>
  <c r="I80" i="1" s="1"/>
  <c r="F81" i="1"/>
  <c r="F82" i="1"/>
  <c r="H82" i="1" s="1"/>
  <c r="F83" i="1"/>
  <c r="I83" i="1" s="1"/>
  <c r="F84" i="1"/>
  <c r="F85" i="1"/>
  <c r="F86" i="1"/>
  <c r="H86" i="1" s="1"/>
  <c r="F87" i="1"/>
  <c r="H87" i="1" s="1"/>
  <c r="F88" i="1"/>
  <c r="H88" i="1" s="1"/>
  <c r="F89" i="1"/>
  <c r="F63" i="1"/>
  <c r="H63" i="1" s="1"/>
  <c r="F64" i="1"/>
  <c r="F65" i="1"/>
  <c r="H65" i="1" s="1"/>
  <c r="F66" i="1"/>
  <c r="F67" i="1"/>
  <c r="H67" i="1" s="1"/>
  <c r="F68" i="1"/>
  <c r="I68" i="1" s="1"/>
  <c r="F69" i="1"/>
  <c r="I69" i="1" s="1"/>
  <c r="F70" i="1"/>
  <c r="F71" i="1"/>
  <c r="I71" i="1" s="1"/>
  <c r="F72" i="1"/>
  <c r="F73" i="1"/>
  <c r="H73" i="1" s="1"/>
  <c r="F74" i="1"/>
  <c r="F48" i="1"/>
  <c r="I48" i="1" s="1"/>
  <c r="F49" i="1"/>
  <c r="F50" i="1"/>
  <c r="F51" i="1"/>
  <c r="F52" i="1"/>
  <c r="H52" i="1" s="1"/>
  <c r="F53" i="1"/>
  <c r="F54" i="1"/>
  <c r="H54" i="1" s="1"/>
  <c r="F55" i="1"/>
  <c r="I55" i="1" s="1"/>
  <c r="F56" i="1"/>
  <c r="F57" i="1"/>
  <c r="I57" i="1" s="1"/>
  <c r="F58" i="1"/>
  <c r="H58" i="1" s="1"/>
  <c r="F59" i="1"/>
  <c r="I49" i="1"/>
  <c r="H53" i="1"/>
  <c r="F33" i="1"/>
  <c r="I33" i="1" s="1"/>
  <c r="F34" i="1"/>
  <c r="I34" i="1" s="1"/>
  <c r="F35" i="1"/>
  <c r="I35" i="1" s="1"/>
  <c r="F36" i="1"/>
  <c r="F37" i="1"/>
  <c r="I37" i="1" s="1"/>
  <c r="F38" i="1"/>
  <c r="F39" i="1"/>
  <c r="I39" i="1" s="1"/>
  <c r="F40" i="1"/>
  <c r="F41" i="1"/>
  <c r="I41" i="1" s="1"/>
  <c r="F42" i="1"/>
  <c r="I42" i="1" s="1"/>
  <c r="F43" i="1"/>
  <c r="H43" i="1" s="1"/>
  <c r="F44" i="1"/>
  <c r="F14" i="1"/>
  <c r="F18" i="1"/>
  <c r="H18" i="1" s="1"/>
  <c r="F19" i="1"/>
  <c r="H19" i="1" s="1"/>
  <c r="F20" i="1"/>
  <c r="I20" i="1" s="1"/>
  <c r="F21" i="1"/>
  <c r="I21" i="1" s="1"/>
  <c r="F22" i="1"/>
  <c r="F23" i="1"/>
  <c r="I23" i="1" s="1"/>
  <c r="F24" i="1"/>
  <c r="F25" i="1"/>
  <c r="I25" i="1" s="1"/>
  <c r="F26" i="1"/>
  <c r="H26" i="1" s="1"/>
  <c r="F27" i="1"/>
  <c r="H27" i="1" s="1"/>
  <c r="F28" i="1"/>
  <c r="I28" i="1" s="1"/>
  <c r="F29" i="1"/>
  <c r="I29" i="1" s="1"/>
  <c r="H97" i="1"/>
  <c r="I84" i="1"/>
  <c r="I67" i="1"/>
  <c r="H51" i="1"/>
  <c r="H57" i="1"/>
  <c r="H59" i="1"/>
  <c r="I3" i="1"/>
  <c r="H37" i="1"/>
  <c r="I4" i="1"/>
  <c r="I5" i="1"/>
  <c r="I6" i="1"/>
  <c r="I7" i="1"/>
  <c r="I8" i="1"/>
  <c r="I9" i="1"/>
  <c r="I10" i="1"/>
  <c r="I11" i="1"/>
  <c r="I12" i="1"/>
  <c r="I13" i="1"/>
  <c r="H14" i="1"/>
  <c r="H3" i="1"/>
  <c r="H4" i="1"/>
  <c r="J4" i="1" s="1"/>
  <c r="H5" i="1"/>
  <c r="H8" i="1"/>
  <c r="H9" i="1"/>
  <c r="H12" i="1"/>
  <c r="H13" i="1"/>
  <c r="H113" i="1"/>
  <c r="H111" i="1"/>
  <c r="I104" i="1"/>
  <c r="H103" i="1"/>
  <c r="H100" i="1"/>
  <c r="I99" i="1"/>
  <c r="H98" i="1"/>
  <c r="I97" i="1"/>
  <c r="I96" i="1"/>
  <c r="I95" i="1"/>
  <c r="H89" i="1"/>
  <c r="I86" i="1"/>
  <c r="I85" i="1"/>
  <c r="H84" i="1"/>
  <c r="H81" i="1"/>
  <c r="H74" i="1"/>
  <c r="H72" i="1"/>
  <c r="I70" i="1"/>
  <c r="H66" i="1"/>
  <c r="H64" i="1"/>
  <c r="I59" i="1"/>
  <c r="I56" i="1"/>
  <c r="I51" i="1"/>
  <c r="H50" i="1"/>
  <c r="H44" i="1"/>
  <c r="I40" i="1"/>
  <c r="H38" i="1"/>
  <c r="H36" i="1"/>
  <c r="I26" i="1"/>
  <c r="I24" i="1"/>
  <c r="H22" i="1"/>
  <c r="I18" i="1"/>
  <c r="H11" i="1"/>
  <c r="H10" i="1"/>
  <c r="J10" i="1" s="1"/>
  <c r="H7" i="1"/>
  <c r="H6" i="1"/>
  <c r="J6" i="1" s="1"/>
  <c r="E24" i="3"/>
  <c r="J11" i="1" l="1"/>
  <c r="I65" i="1"/>
  <c r="I78" i="1"/>
  <c r="H15" i="1"/>
  <c r="J15" i="1" s="1"/>
  <c r="H39" i="1"/>
  <c r="J39" i="1" s="1"/>
  <c r="J9" i="1"/>
  <c r="J103" i="1"/>
  <c r="I73" i="1"/>
  <c r="J73" i="1" s="1"/>
  <c r="J5" i="1"/>
  <c r="I110" i="1"/>
  <c r="J110" i="1" s="1"/>
  <c r="H108" i="1"/>
  <c r="J108" i="1" s="1"/>
  <c r="J97" i="1"/>
  <c r="I88" i="1"/>
  <c r="J88" i="1" s="1"/>
  <c r="H80" i="1"/>
  <c r="J80" i="1" s="1"/>
  <c r="J84" i="1"/>
  <c r="H69" i="1"/>
  <c r="J69" i="1" s="1"/>
  <c r="J67" i="1"/>
  <c r="H55" i="1"/>
  <c r="J55" i="1" s="1"/>
  <c r="J57" i="1"/>
  <c r="H49" i="1"/>
  <c r="J49" i="1" s="1"/>
  <c r="H28" i="1"/>
  <c r="J28" i="1" s="1"/>
  <c r="H20" i="1"/>
  <c r="J20" i="1" s="1"/>
  <c r="J59" i="1"/>
  <c r="J99" i="1"/>
  <c r="J78" i="1"/>
  <c r="J51" i="1"/>
  <c r="J37" i="1"/>
  <c r="J86" i="1"/>
  <c r="J65" i="1"/>
  <c r="I22" i="1"/>
  <c r="J22" i="1" s="1"/>
  <c r="I82" i="1"/>
  <c r="J82" i="1" s="1"/>
  <c r="H25" i="1"/>
  <c r="J25" i="1" s="1"/>
  <c r="J8" i="1"/>
  <c r="H42" i="1"/>
  <c r="J42" i="1" s="1"/>
  <c r="H34" i="1"/>
  <c r="J34" i="1" s="1"/>
  <c r="I38" i="1"/>
  <c r="J38" i="1" s="1"/>
  <c r="I27" i="1"/>
  <c r="J27" i="1" s="1"/>
  <c r="I19" i="1"/>
  <c r="J19" i="1" s="1"/>
  <c r="H56" i="1"/>
  <c r="J56" i="1" s="1"/>
  <c r="H48" i="1"/>
  <c r="H70" i="1"/>
  <c r="J70" i="1" s="1"/>
  <c r="I74" i="1"/>
  <c r="J74" i="1" s="1"/>
  <c r="I66" i="1"/>
  <c r="J66" i="1" s="1"/>
  <c r="I54" i="1"/>
  <c r="J54" i="1" s="1"/>
  <c r="H85" i="1"/>
  <c r="J85" i="1" s="1"/>
  <c r="I89" i="1"/>
  <c r="J89" i="1" s="1"/>
  <c r="I81" i="1"/>
  <c r="J81" i="1" s="1"/>
  <c r="H104" i="1"/>
  <c r="H96" i="1"/>
  <c r="J96" i="1" s="1"/>
  <c r="I100" i="1"/>
  <c r="J100" i="1" s="1"/>
  <c r="I113" i="1"/>
  <c r="J113" i="1" s="1"/>
  <c r="I101" i="1"/>
  <c r="J101" i="1" s="1"/>
  <c r="H24" i="1"/>
  <c r="J24" i="1" s="1"/>
  <c r="J7" i="1"/>
  <c r="H41" i="1"/>
  <c r="J41" i="1" s="1"/>
  <c r="H33" i="1"/>
  <c r="I53" i="1"/>
  <c r="J53" i="1" s="1"/>
  <c r="H95" i="1"/>
  <c r="J95" i="1" s="1"/>
  <c r="I112" i="1"/>
  <c r="J112" i="1" s="1"/>
  <c r="H114" i="1"/>
  <c r="H35" i="1"/>
  <c r="J35" i="1" s="1"/>
  <c r="H23" i="1"/>
  <c r="J23" i="1" s="1"/>
  <c r="I14" i="1"/>
  <c r="J14" i="1" s="1"/>
  <c r="H40" i="1"/>
  <c r="J40" i="1" s="1"/>
  <c r="I44" i="1"/>
  <c r="J44" i="1" s="1"/>
  <c r="I36" i="1"/>
  <c r="J36" i="1" s="1"/>
  <c r="H68" i="1"/>
  <c r="J68" i="1" s="1"/>
  <c r="I72" i="1"/>
  <c r="J72" i="1" s="1"/>
  <c r="I64" i="1"/>
  <c r="J64" i="1" s="1"/>
  <c r="I52" i="1"/>
  <c r="J52" i="1" s="1"/>
  <c r="H83" i="1"/>
  <c r="J83" i="1" s="1"/>
  <c r="I87" i="1"/>
  <c r="J87" i="1" s="1"/>
  <c r="I79" i="1"/>
  <c r="J79" i="1" s="1"/>
  <c r="H102" i="1"/>
  <c r="J102" i="1" s="1"/>
  <c r="H94" i="1"/>
  <c r="J94" i="1" s="1"/>
  <c r="I98" i="1"/>
  <c r="J98" i="1" s="1"/>
  <c r="I111" i="1"/>
  <c r="J111" i="1" s="1"/>
  <c r="J26" i="1"/>
  <c r="H71" i="1"/>
  <c r="J71" i="1" s="1"/>
  <c r="I63" i="1"/>
  <c r="J63" i="1" s="1"/>
  <c r="J3" i="1"/>
  <c r="J13" i="1"/>
  <c r="I43" i="1"/>
  <c r="J43" i="1" s="1"/>
  <c r="H93" i="1"/>
  <c r="H29" i="1"/>
  <c r="J29" i="1" s="1"/>
  <c r="H21" i="1"/>
  <c r="J21" i="1" s="1"/>
  <c r="J12" i="1"/>
  <c r="I58" i="1"/>
  <c r="J58" i="1" s="1"/>
  <c r="I50" i="1"/>
  <c r="J50" i="1" s="1"/>
  <c r="I109" i="1"/>
  <c r="J109" i="1" s="1"/>
  <c r="J18" i="1"/>
  <c r="H60" i="1" l="1"/>
  <c r="H90" i="1"/>
  <c r="H75" i="1"/>
  <c r="H105" i="1"/>
  <c r="J104" i="1"/>
  <c r="H30" i="1"/>
  <c r="H45" i="1"/>
  <c r="J33" i="1"/>
  <c r="J48" i="1"/>
  <c r="J93" i="1"/>
  <c r="I45" i="1" l="1"/>
  <c r="I60" i="1" s="1"/>
  <c r="J60" i="1" s="1"/>
  <c r="J45" i="1" l="1"/>
  <c r="I75" i="1"/>
  <c r="J30" i="1"/>
  <c r="I90" i="1" l="1"/>
  <c r="J75" i="1"/>
  <c r="I105" i="1" l="1"/>
  <c r="J90" i="1"/>
  <c r="J105" i="1" l="1"/>
  <c r="M104" i="1" s="1"/>
  <c r="M105" i="1" s="1"/>
  <c r="I114" i="1"/>
  <c r="J114" i="1" s="1"/>
  <c r="M114" i="1" l="1"/>
  <c r="M115" i="1" s="1"/>
  <c r="E4" i="2"/>
  <c r="E5" i="2"/>
  <c r="E6" i="2"/>
  <c r="E7" i="2"/>
  <c r="E8" i="2"/>
  <c r="E9" i="2"/>
  <c r="E10" i="2"/>
  <c r="E11" i="2"/>
  <c r="E12" i="2"/>
  <c r="E13" i="2"/>
  <c r="E14" i="2"/>
  <c r="E15" i="2"/>
  <c r="E3" i="2"/>
  <c r="G3" i="2" l="1"/>
  <c r="I3" i="2" l="1"/>
  <c r="G4" i="2" s="1"/>
  <c r="H4" i="2" s="1"/>
  <c r="I4" i="2" l="1"/>
  <c r="G5" i="2" s="1"/>
  <c r="H5" i="2" s="1"/>
  <c r="I5" i="2" l="1"/>
  <c r="G6" i="2" s="1"/>
  <c r="H6" i="2" s="1"/>
  <c r="I6" i="2" l="1"/>
  <c r="G7" i="2" s="1"/>
  <c r="H7" i="2" s="1"/>
  <c r="I7" i="2" l="1"/>
  <c r="G8" i="2" s="1"/>
  <c r="H8" i="2" s="1"/>
  <c r="I8" i="2" l="1"/>
  <c r="G9" i="2" s="1"/>
  <c r="H9" i="2" s="1"/>
  <c r="I9" i="2" l="1"/>
  <c r="G10" i="2" s="1"/>
  <c r="H10" i="2" s="1"/>
  <c r="I10" i="2" l="1"/>
  <c r="G11" i="2" s="1"/>
  <c r="H11" i="2" s="1"/>
  <c r="I11" i="2" l="1"/>
  <c r="G12" i="2" s="1"/>
  <c r="H12" i="2" s="1"/>
  <c r="I12" i="2" l="1"/>
  <c r="G13" i="2" s="1"/>
  <c r="H13" i="2" s="1"/>
  <c r="I13" i="2" l="1"/>
  <c r="G14" i="2" s="1"/>
  <c r="H14" i="2" s="1"/>
  <c r="C24" i="3"/>
  <c r="C25" i="3" s="1"/>
  <c r="E25" i="3" s="1"/>
  <c r="E4" i="3"/>
  <c r="C5" i="3"/>
  <c r="E5" i="3" s="1"/>
  <c r="C6" i="3" s="1"/>
  <c r="E6" i="3" s="1"/>
  <c r="C7" i="3" s="1"/>
  <c r="E7" i="3" s="1"/>
  <c r="C8" i="3" s="1"/>
  <c r="E8" i="3" s="1"/>
  <c r="C9" i="3" s="1"/>
  <c r="E9" i="3" s="1"/>
  <c r="C10" i="3" s="1"/>
  <c r="E10" i="3" s="1"/>
  <c r="C11" i="3" s="1"/>
  <c r="E11" i="3" s="1"/>
  <c r="C12" i="3" s="1"/>
  <c r="E12" i="3" s="1"/>
  <c r="C13" i="3" s="1"/>
  <c r="E13" i="3" s="1"/>
  <c r="C14" i="3" s="1"/>
  <c r="E14" i="3" s="1"/>
  <c r="C15" i="3" s="1"/>
  <c r="E15" i="3" s="1"/>
  <c r="C16" i="3" s="1"/>
  <c r="E16" i="3" s="1"/>
  <c r="C17" i="3" s="1"/>
  <c r="E17" i="3" s="1"/>
  <c r="C18" i="3" s="1"/>
  <c r="E18" i="3" s="1"/>
  <c r="C19" i="3" s="1"/>
  <c r="E19" i="3" s="1"/>
  <c r="C20" i="3" s="1"/>
  <c r="E20" i="3" s="1"/>
  <c r="C21" i="3" s="1"/>
  <c r="E21" i="3" s="1"/>
  <c r="C22" i="3" s="1"/>
  <c r="E22" i="3" s="1"/>
  <c r="C23" i="3" s="1"/>
  <c r="I14" i="2" l="1"/>
  <c r="G15" i="2" s="1"/>
  <c r="H15" i="2" s="1"/>
  <c r="C26" i="3"/>
  <c r="E26" i="3" s="1"/>
  <c r="E17" i="2"/>
  <c r="E25" i="2"/>
  <c r="E18" i="2"/>
  <c r="E26" i="2"/>
  <c r="E19" i="2"/>
  <c r="E27" i="2"/>
  <c r="E20" i="2"/>
  <c r="E21" i="2"/>
  <c r="E16" i="2"/>
  <c r="E22" i="2"/>
  <c r="E24" i="2"/>
  <c r="E23" i="2"/>
  <c r="I15" i="2" l="1"/>
  <c r="G16" i="2" s="1"/>
  <c r="H16" i="2" s="1"/>
  <c r="C27" i="3"/>
  <c r="E27" i="3" s="1"/>
  <c r="E33" i="2"/>
  <c r="E34" i="2"/>
  <c r="E37" i="2"/>
  <c r="E32" i="2"/>
  <c r="E35" i="2"/>
  <c r="E28" i="2"/>
  <c r="E36" i="2"/>
  <c r="E29" i="2"/>
  <c r="E30" i="2"/>
  <c r="E38" i="2"/>
  <c r="E31" i="2"/>
  <c r="E39" i="2"/>
  <c r="I16" i="2" l="1"/>
  <c r="G17" i="2" s="1"/>
  <c r="H17" i="2" s="1"/>
  <c r="C28" i="3"/>
  <c r="E28" i="3" s="1"/>
  <c r="E47" i="2"/>
  <c r="E48" i="2"/>
  <c r="E41" i="2"/>
  <c r="E49" i="2"/>
  <c r="E42" i="2"/>
  <c r="E50" i="2"/>
  <c r="E43" i="2"/>
  <c r="E51" i="2"/>
  <c r="E44" i="2"/>
  <c r="E45" i="2"/>
  <c r="E46" i="2"/>
  <c r="E40" i="2"/>
  <c r="I17" i="2" l="1"/>
  <c r="G18" i="2" s="1"/>
  <c r="H18" i="2" s="1"/>
  <c r="C29" i="3"/>
  <c r="E29" i="3" s="1"/>
  <c r="E55" i="2"/>
  <c r="E63" i="2"/>
  <c r="E56" i="2"/>
  <c r="E57" i="2"/>
  <c r="E58" i="2"/>
  <c r="E59" i="2"/>
  <c r="E52" i="2"/>
  <c r="E60" i="2"/>
  <c r="E54" i="2"/>
  <c r="E62" i="2"/>
  <c r="E53" i="2"/>
  <c r="E61" i="2"/>
  <c r="I18" i="2" l="1"/>
  <c r="G19" i="2" s="1"/>
  <c r="H19" i="2" s="1"/>
  <c r="C30" i="3"/>
  <c r="E30" i="3" s="1"/>
  <c r="E71" i="2"/>
  <c r="E64" i="2"/>
  <c r="E72" i="2"/>
  <c r="E65" i="2"/>
  <c r="E73" i="2"/>
  <c r="E66" i="2"/>
  <c r="E74" i="2"/>
  <c r="E67" i="2"/>
  <c r="E75" i="2"/>
  <c r="E68" i="2"/>
  <c r="E69" i="2"/>
  <c r="E70" i="2"/>
  <c r="I19" i="2" l="1"/>
  <c r="G20" i="2" s="1"/>
  <c r="H20" i="2" s="1"/>
  <c r="E79" i="2"/>
  <c r="E80" i="2"/>
  <c r="E81" i="2"/>
  <c r="E82" i="2" s="1"/>
  <c r="E78" i="2"/>
  <c r="E76" i="2"/>
  <c r="E77" i="2"/>
  <c r="I20" i="2" l="1"/>
  <c r="G21" i="2" s="1"/>
  <c r="H21" i="2" s="1"/>
  <c r="I21" i="2" l="1"/>
  <c r="G22" i="2" s="1"/>
  <c r="H22" i="2" s="1"/>
  <c r="I22" i="2" l="1"/>
  <c r="G23" i="2" s="1"/>
  <c r="H23" i="2" s="1"/>
  <c r="I23" i="2" l="1"/>
  <c r="G24" i="2" s="1"/>
  <c r="H24" i="2" s="1"/>
  <c r="I24" i="2" l="1"/>
  <c r="G25" i="2" s="1"/>
  <c r="H25" i="2" s="1"/>
  <c r="I25" i="2" l="1"/>
  <c r="G26" i="2" s="1"/>
  <c r="H26" i="2" s="1"/>
  <c r="I26" i="2" l="1"/>
  <c r="G27" i="2" s="1"/>
  <c r="H27" i="2" s="1"/>
  <c r="I27" i="2" l="1"/>
  <c r="G28" i="2" s="1"/>
  <c r="H28" i="2" s="1"/>
  <c r="I28" i="2" l="1"/>
  <c r="G29" i="2" s="1"/>
  <c r="H29" i="2" s="1"/>
  <c r="I29" i="2" l="1"/>
  <c r="G30" i="2" s="1"/>
  <c r="H30" i="2" s="1"/>
  <c r="I30" i="2" l="1"/>
  <c r="G31" i="2" s="1"/>
  <c r="H31" i="2" s="1"/>
  <c r="I31" i="2" l="1"/>
  <c r="G32" i="2" s="1"/>
  <c r="H32" i="2" s="1"/>
  <c r="I32" i="2" l="1"/>
  <c r="G33" i="2" s="1"/>
  <c r="H33" i="2" s="1"/>
  <c r="I33" i="2" l="1"/>
  <c r="G34" i="2" s="1"/>
  <c r="H34" i="2" s="1"/>
  <c r="I34" i="2" l="1"/>
  <c r="G35" i="2" s="1"/>
  <c r="H35" i="2" s="1"/>
  <c r="I35" i="2" l="1"/>
  <c r="G36" i="2" s="1"/>
  <c r="H36" i="2" s="1"/>
  <c r="I36" i="2" l="1"/>
  <c r="G37" i="2" s="1"/>
  <c r="H37" i="2" s="1"/>
  <c r="I37" i="2" l="1"/>
  <c r="G38" i="2" s="1"/>
  <c r="H38" i="2" s="1"/>
  <c r="I38" i="2" l="1"/>
  <c r="G39" i="2" s="1"/>
  <c r="H39" i="2" s="1"/>
  <c r="I39" i="2" l="1"/>
  <c r="G40" i="2" s="1"/>
  <c r="H40" i="2" s="1"/>
  <c r="I40" i="2" l="1"/>
  <c r="G41" i="2" s="1"/>
  <c r="H41" i="2" s="1"/>
  <c r="I41" i="2" l="1"/>
  <c r="G42" i="2" s="1"/>
  <c r="H42" i="2" s="1"/>
  <c r="I42" i="2" l="1"/>
  <c r="G43" i="2" s="1"/>
  <c r="H43" i="2" s="1"/>
  <c r="I43" i="2" l="1"/>
  <c r="G44" i="2" s="1"/>
  <c r="H44" i="2" s="1"/>
  <c r="I44" i="2" l="1"/>
  <c r="G45" i="2" s="1"/>
  <c r="H45" i="2" s="1"/>
  <c r="I45" i="2" l="1"/>
  <c r="G46" i="2" s="1"/>
  <c r="H46" i="2" s="1"/>
  <c r="I46" i="2" l="1"/>
  <c r="G47" i="2" s="1"/>
  <c r="H47" i="2" s="1"/>
  <c r="I47" i="2" l="1"/>
  <c r="G48" i="2" s="1"/>
  <c r="H48" i="2" s="1"/>
  <c r="I48" i="2" l="1"/>
  <c r="G49" i="2" s="1"/>
  <c r="H49" i="2" s="1"/>
  <c r="I49" i="2" l="1"/>
  <c r="G50" i="2" s="1"/>
  <c r="H50" i="2" s="1"/>
  <c r="I50" i="2" l="1"/>
  <c r="G51" i="2" s="1"/>
  <c r="H51" i="2" s="1"/>
  <c r="I51" i="2" l="1"/>
  <c r="G52" i="2" s="1"/>
  <c r="H52" i="2" s="1"/>
  <c r="I52" i="2" l="1"/>
  <c r="G53" i="2" s="1"/>
  <c r="H53" i="2" s="1"/>
  <c r="I53" i="2" l="1"/>
  <c r="G54" i="2" s="1"/>
  <c r="H54" i="2" s="1"/>
  <c r="I54" i="2" l="1"/>
  <c r="G55" i="2" s="1"/>
  <c r="H55" i="2" s="1"/>
  <c r="I55" i="2" l="1"/>
  <c r="G56" i="2" s="1"/>
  <c r="H56" i="2" s="1"/>
  <c r="I56" i="2" l="1"/>
  <c r="G57" i="2" s="1"/>
  <c r="H57" i="2" s="1"/>
  <c r="I57" i="2" l="1"/>
  <c r="G58" i="2" s="1"/>
  <c r="H58" i="2" s="1"/>
  <c r="I58" i="2" l="1"/>
  <c r="G59" i="2" s="1"/>
  <c r="H59" i="2" s="1"/>
  <c r="I59" i="2" l="1"/>
  <c r="G60" i="2" s="1"/>
  <c r="H60" i="2" s="1"/>
  <c r="I60" i="2" l="1"/>
  <c r="G61" i="2" s="1"/>
  <c r="H61" i="2" s="1"/>
  <c r="I61" i="2" l="1"/>
  <c r="G62" i="2" s="1"/>
  <c r="H62" i="2" s="1"/>
  <c r="I62" i="2" l="1"/>
  <c r="G63" i="2" s="1"/>
  <c r="H63" i="2" s="1"/>
  <c r="I63" i="2" l="1"/>
  <c r="G64" i="2" s="1"/>
  <c r="H64" i="2" s="1"/>
  <c r="I64" i="2" l="1"/>
  <c r="G65" i="2" s="1"/>
  <c r="H65" i="2" s="1"/>
  <c r="I65" i="2" l="1"/>
  <c r="G66" i="2" s="1"/>
  <c r="H66" i="2" s="1"/>
  <c r="I66" i="2" l="1"/>
  <c r="G67" i="2" s="1"/>
  <c r="H67" i="2" s="1"/>
  <c r="I67" i="2" l="1"/>
  <c r="G68" i="2" s="1"/>
  <c r="H68" i="2" s="1"/>
  <c r="I68" i="2" l="1"/>
  <c r="G69" i="2" s="1"/>
  <c r="H69" i="2" s="1"/>
  <c r="I69" i="2" l="1"/>
  <c r="G70" i="2" s="1"/>
  <c r="H70" i="2" s="1"/>
  <c r="I70" i="2" l="1"/>
  <c r="G71" i="2" s="1"/>
  <c r="H71" i="2" s="1"/>
  <c r="I71" i="2" l="1"/>
  <c r="G72" i="2" s="1"/>
  <c r="H72" i="2" s="1"/>
  <c r="I72" i="2" l="1"/>
  <c r="G73" i="2" s="1"/>
  <c r="H73" i="2" s="1"/>
  <c r="I73" i="2" l="1"/>
  <c r="G74" i="2" s="1"/>
  <c r="H74" i="2" s="1"/>
  <c r="I74" i="2" l="1"/>
  <c r="G75" i="2" s="1"/>
  <c r="H75" i="2" s="1"/>
  <c r="I75" i="2" l="1"/>
  <c r="G76" i="2" s="1"/>
  <c r="H76" i="2" s="1"/>
  <c r="I76" i="2" l="1"/>
  <c r="G77" i="2" s="1"/>
  <c r="H77" i="2" s="1"/>
  <c r="I77" i="2" l="1"/>
  <c r="G78" i="2" s="1"/>
  <c r="H78" i="2" s="1"/>
  <c r="I78" i="2" l="1"/>
  <c r="G79" i="2" s="1"/>
  <c r="H79" i="2" s="1"/>
  <c r="I79" i="2" l="1"/>
  <c r="G80" i="2" s="1"/>
  <c r="H80" i="2" s="1"/>
  <c r="I80" i="2" l="1"/>
  <c r="G81" i="2" s="1"/>
  <c r="H81" i="2" s="1"/>
  <c r="H82" i="2" l="1"/>
  <c r="C15" i="4" s="1"/>
  <c r="I81" i="2" l="1"/>
  <c r="I82" i="2" s="1"/>
  <c r="C18" i="4" s="1"/>
</calcChain>
</file>

<file path=xl/sharedStrings.xml><?xml version="1.0" encoding="utf-8"?>
<sst xmlns="http://schemas.openxmlformats.org/spreadsheetml/2006/main" count="132" uniqueCount="50">
  <si>
    <t>Total</t>
  </si>
  <si>
    <t>Mes</t>
  </si>
  <si>
    <t>Año</t>
  </si>
  <si>
    <t>INCREMENTO CON SALARIO MINIMO</t>
  </si>
  <si>
    <t xml:space="preserve">Cuota </t>
  </si>
  <si>
    <t>Incremento</t>
  </si>
  <si>
    <t>Nueva cuota</t>
  </si>
  <si>
    <t xml:space="preserve">Fecha de exigibilidad </t>
  </si>
  <si>
    <t>Cuota</t>
  </si>
  <si>
    <t xml:space="preserve">Valor Pagado </t>
  </si>
  <si>
    <t>Saldo</t>
  </si>
  <si>
    <t>Interes</t>
  </si>
  <si>
    <t>año</t>
  </si>
  <si>
    <t>Subsaldo</t>
  </si>
  <si>
    <t xml:space="preserve"> $ 63.000,00 </t>
  </si>
  <si>
    <t>Periodo</t>
  </si>
  <si>
    <t>Mensual</t>
  </si>
  <si>
    <t>Anual</t>
  </si>
  <si>
    <t>Demandante</t>
  </si>
  <si>
    <t>Nombre</t>
  </si>
  <si>
    <t>Apellido</t>
  </si>
  <si>
    <t>Nancy</t>
  </si>
  <si>
    <t>NIÑO FONTECHA</t>
  </si>
  <si>
    <t>Demandado</t>
  </si>
  <si>
    <t>Oscar Oswaldo</t>
  </si>
  <si>
    <t>COTE MORANTES</t>
  </si>
  <si>
    <t>Cédula</t>
  </si>
  <si>
    <t>Proceso</t>
  </si>
  <si>
    <t>Liquidación de credito ejecutivo de alimentos a junio del 2021</t>
  </si>
  <si>
    <t>Radicado</t>
  </si>
  <si>
    <t>Juzgado</t>
  </si>
  <si>
    <t>Juzgado 6to de familia de Bucaramanga</t>
  </si>
  <si>
    <t>68001311000620190028400</t>
  </si>
  <si>
    <t>Fecha liquidación</t>
  </si>
  <si>
    <t>Partes</t>
  </si>
  <si>
    <t>Fecha de inicio</t>
  </si>
  <si>
    <t>Cantidad de meses</t>
  </si>
  <si>
    <t>Total intereses</t>
  </si>
  <si>
    <t>Total abonado</t>
  </si>
  <si>
    <t>Total saldo</t>
  </si>
  <si>
    <t>Total deuda capital</t>
  </si>
  <si>
    <t>Valor del capital</t>
  </si>
  <si>
    <t>Intereses manejados</t>
  </si>
  <si>
    <t>Resumen</t>
  </si>
  <si>
    <t>Fecha de entrega</t>
  </si>
  <si>
    <t>Sub total 2020</t>
  </si>
  <si>
    <t>Pago de 4.380.000</t>
  </si>
  <si>
    <t>Sub total 2021</t>
  </si>
  <si>
    <t>Pago de 1.440.000</t>
  </si>
  <si>
    <t>INCREMENTO CON IPC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</si>
</sst>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0.0%"/>
    <numFmt numFmtId="165" formatCode="_(&quot;$&quot;\ * #,##0.00_);_(&quot;$&quot;\ * \(#,##0.00\);_(&quot;$&quot;\ * &quot;-&quot;??_);_(@_)"/>
    <numFmt numFmtId="166" formatCode="_-&quot;$&quot;\ * #,##0.0_-;\-&quot;$&quot;\ * #,##0.0_-;_-&quot;$&quot;\ * &quot;-&quot;?_-;_-@_-"/>
    <numFmt numFmtId="167" formatCode="[$-F800]dddd\,\ mmmm\ dd\,\ yyyy"/>
  </numFmts>
  <fonts count="14">
    <font>
      <sz val="11"/>
      <color theme="1"/>
      <name val="Arial"/>
    </font>
    <font>
      <sz val="11"/>
      <name val="Arial"/>
    </font>
    <font>
      <sz val="11"/>
      <color theme="1"/>
      <name val="Arial"/>
    </font>
    <font>
      <sz val="11"/>
      <color theme="1"/>
      <name val="Arial"/>
      <family val="2"/>
    </font>
    <font>
      <sz val="11"/>
      <name val="Arial"/>
      <family val="2"/>
    </font>
    <font>
      <b/>
      <sz val="12"/>
      <name val="Calibri"/>
      <family val="2"/>
    </font>
    <font>
      <b/>
      <sz val="11"/>
      <name val="Calibri"/>
      <family val="2"/>
      <scheme val="minor"/>
    </font>
    <font>
      <b/>
      <sz val="11"/>
      <name val="Calibri"/>
    </font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1">
    <xf numFmtId="0" fontId="0" fillId="0" borderId="0" xfId="0" applyFont="1" applyAlignment="1"/>
    <xf numFmtId="0" fontId="0" fillId="0" borderId="0" xfId="0" applyFont="1" applyFill="1" applyAlignment="1"/>
    <xf numFmtId="10" fontId="1" fillId="0" borderId="0" xfId="0" applyNumberFormat="1" applyFont="1" applyFill="1" applyBorder="1"/>
    <xf numFmtId="44" fontId="1" fillId="0" borderId="0" xfId="1" applyFont="1" applyFill="1" applyBorder="1"/>
    <xf numFmtId="44" fontId="1" fillId="0" borderId="0" xfId="0" applyNumberFormat="1" applyFont="1" applyFill="1" applyBorder="1"/>
    <xf numFmtId="0" fontId="1" fillId="0" borderId="0" xfId="0" applyFont="1" applyFill="1" applyBorder="1"/>
    <xf numFmtId="44" fontId="1" fillId="0" borderId="0" xfId="1" applyNumberFormat="1" applyFont="1" applyFill="1" applyBorder="1"/>
    <xf numFmtId="8" fontId="1" fillId="0" borderId="0" xfId="0" applyNumberFormat="1" applyFont="1" applyFill="1" applyBorder="1"/>
    <xf numFmtId="44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0" fillId="0" borderId="0" xfId="0" applyFont="1" applyAlignment="1">
      <alignment horizontal="left"/>
    </xf>
    <xf numFmtId="44" fontId="0" fillId="0" borderId="0" xfId="0" applyNumberFormat="1" applyFont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3" borderId="9" xfId="0" applyFont="1" applyFill="1" applyBorder="1" applyAlignment="1">
      <alignment horizontal="left"/>
    </xf>
    <xf numFmtId="0" fontId="0" fillId="3" borderId="1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left"/>
    </xf>
    <xf numFmtId="0" fontId="0" fillId="3" borderId="12" xfId="0" applyFont="1" applyFill="1" applyBorder="1" applyAlignment="1">
      <alignment horizontal="center"/>
    </xf>
    <xf numFmtId="14" fontId="0" fillId="3" borderId="8" xfId="0" applyNumberFormat="1" applyFont="1" applyFill="1" applyBorder="1" applyAlignment="1"/>
    <xf numFmtId="14" fontId="0" fillId="3" borderId="4" xfId="0" applyNumberFormat="1" applyFont="1" applyFill="1" applyBorder="1" applyAlignment="1"/>
    <xf numFmtId="0" fontId="0" fillId="3" borderId="4" xfId="0" applyFont="1" applyFill="1" applyBorder="1" applyAlignment="1"/>
    <xf numFmtId="166" fontId="0" fillId="3" borderId="4" xfId="0" applyNumberFormat="1" applyFont="1" applyFill="1" applyBorder="1" applyAlignment="1"/>
    <xf numFmtId="44" fontId="0" fillId="3" borderId="4" xfId="0" applyNumberFormat="1" applyFont="1" applyFill="1" applyBorder="1" applyAlignment="1"/>
    <xf numFmtId="44" fontId="0" fillId="3" borderId="12" xfId="0" applyNumberFormat="1" applyFont="1" applyFill="1" applyBorder="1" applyAlignment="1"/>
    <xf numFmtId="10" fontId="0" fillId="3" borderId="8" xfId="0" applyNumberFormat="1" applyFont="1" applyFill="1" applyBorder="1" applyAlignment="1">
      <alignment horizontal="right"/>
    </xf>
    <xf numFmtId="9" fontId="0" fillId="3" borderId="12" xfId="0" applyNumberFormat="1" applyFont="1" applyFill="1" applyBorder="1" applyAlignment="1">
      <alignment horizontal="right"/>
    </xf>
    <xf numFmtId="0" fontId="0" fillId="2" borderId="7" xfId="0" applyFont="1" applyFill="1" applyBorder="1" applyAlignment="1">
      <alignment horizontal="left"/>
    </xf>
    <xf numFmtId="0" fontId="0" fillId="2" borderId="10" xfId="0" applyFont="1" applyFill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0" fillId="2" borderId="13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/>
    <xf numFmtId="0" fontId="5" fillId="0" borderId="0" xfId="0" applyFont="1" applyFill="1" applyBorder="1" applyAlignment="1"/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/>
    <xf numFmtId="14" fontId="6" fillId="0" borderId="0" xfId="0" applyNumberFormat="1" applyFont="1" applyFill="1" applyBorder="1"/>
    <xf numFmtId="165" fontId="6" fillId="0" borderId="0" xfId="1" applyNumberFormat="1" applyFont="1" applyFill="1" applyBorder="1"/>
    <xf numFmtId="17" fontId="1" fillId="0" borderId="0" xfId="0" applyNumberFormat="1" applyFont="1" applyFill="1" applyBorder="1" applyAlignment="1"/>
    <xf numFmtId="14" fontId="1" fillId="0" borderId="0" xfId="0" applyNumberFormat="1" applyFont="1" applyFill="1" applyBorder="1" applyAlignment="1"/>
    <xf numFmtId="166" fontId="1" fillId="0" borderId="0" xfId="0" applyNumberFormat="1" applyFont="1" applyFill="1" applyBorder="1" applyAlignment="1"/>
    <xf numFmtId="164" fontId="1" fillId="0" borderId="0" xfId="0" applyNumberFormat="1" applyFont="1" applyFill="1" applyBorder="1" applyAlignment="1"/>
    <xf numFmtId="0" fontId="0" fillId="0" borderId="0" xfId="0" applyFill="1"/>
    <xf numFmtId="44" fontId="0" fillId="0" borderId="0" xfId="0" applyNumberFormat="1" applyFill="1"/>
    <xf numFmtId="0" fontId="13" fillId="0" borderId="0" xfId="0" applyFont="1" applyFill="1" applyBorder="1"/>
    <xf numFmtId="0" fontId="4" fillId="0" borderId="0" xfId="0" applyFont="1" applyFill="1" applyBorder="1" applyAlignment="1"/>
    <xf numFmtId="9" fontId="1" fillId="0" borderId="0" xfId="0" applyNumberFormat="1" applyFont="1" applyFill="1" applyBorder="1" applyAlignment="1"/>
    <xf numFmtId="0" fontId="3" fillId="2" borderId="13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3" borderId="3" xfId="0" applyNumberFormat="1" applyFont="1" applyFill="1" applyBorder="1" applyAlignment="1">
      <alignment horizontal="left"/>
    </xf>
    <xf numFmtId="167" fontId="0" fillId="3" borderId="2" xfId="0" applyNumberFormat="1" applyFont="1" applyFill="1" applyBorder="1" applyAlignment="1">
      <alignment horizontal="left"/>
    </xf>
    <xf numFmtId="167" fontId="0" fillId="3" borderId="3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2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-&quot;$&quot;\ * #,##0.0_-;\-&quot;$&quot;\ * #,##0.0_-;_-&quot;$&quot;\ * &quot;-&quot;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-&quot;$&quot;\ * #,##0.0_-;\-&quot;$&quot;\ * #,##0.0_-;_-&quot;$&quot;\ * &quot;-&quot;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color auto="1"/>
        <family val="2"/>
      </font>
      <numFmt numFmtId="165" formatCode="_(&quot;$&quot;\ * #,##0.00_);_(&quot;$&quot;\ * \(#,##0.00\);_(&quot;$&quot;\ * &quot;-&quot;??_);_(@_)"/>
      <fill>
        <patternFill patternType="none">
          <bgColor auto="1"/>
        </patternFill>
      </fill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(&quot;$&quot;\ * #,##0.00_);_(&quot;$&quot;\ * \(#,##0.00\);_(&quot;$&quot;\ * &quot;-&quot;??_);_(@_)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&quot;$&quot;\ * #,##0.00_);_(&quot;$&quot;\ * \(#,##0.00\);_(&quot;$&quot;\ 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-&quot;$&quot;\ * #,##0.0_-;\-&quot;$&quot;\ * #,##0.0_-;_-&quot;$&quot;\ * &quot;-&quot;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-&quot;$&quot;\ * #,##0.0_-;\-&quot;$&quot;\ * #,##0.0_-;_-&quot;$&quot;\ * &quot;-&quot;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color auto="1"/>
        <family val="2"/>
      </font>
      <numFmt numFmtId="165" formatCode="_(&quot;$&quot;\ * #,##0.00_);_(&quot;$&quot;\ * \(#,##0.00\);_(&quot;$&quot;\ * &quot;-&quot;??_);_(@_)"/>
      <fill>
        <patternFill patternType="none">
          <bgColor auto="1"/>
        </patternFill>
      </fill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(&quot;$&quot;\ * #,##0.00_);_(&quot;$&quot;\ * \(#,##0.00\);_(&quot;$&quot;\ * &quot;-&quot;??_);_(@_)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&quot;$&quot;\ * #,##0.00_);_(&quot;$&quot;\ * \(#,##0.00\);_(&quot;$&quot;\ 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-&quot;$&quot;\ * #,##0.0_-;\-&quot;$&quot;\ * #,##0.0_-;_-&quot;$&quot;\ * &quot;-&quot;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-&quot;$&quot;\ * #,##0.0_-;\-&quot;$&quot;\ * #,##0.0_-;_-&quot;$&quot;\ * &quot;-&quot;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color auto="1"/>
        <family val="2"/>
      </font>
      <numFmt numFmtId="165" formatCode="_(&quot;$&quot;\ * #,##0.00_);_(&quot;$&quot;\ * \(#,##0.00\);_(&quot;$&quot;\ * &quot;-&quot;??_);_(@_)"/>
      <fill>
        <patternFill patternType="none">
          <fgColor indexed="64"/>
          <bgColor auto="1"/>
        </patternFill>
      </fill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(&quot;$&quot;\ * #,##0.00_);_(&quot;$&quot;\ * \(#,##0.00\);_(&quot;$&quot;\ * &quot;-&quot;??_);_(@_)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&quot;$&quot;\ * #,##0.00_);_(&quot;$&quot;\ * \(#,##0.00\);_(&quot;$&quot;\ 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-&quot;$&quot;\ * #,##0.0_-;\-&quot;$&quot;\ * #,##0.0_-;_-&quot;$&quot;\ * &quot;-&quot;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-&quot;$&quot;\ * #,##0.0_-;\-&quot;$&quot;\ * #,##0.0_-;_-&quot;$&quot;\ * &quot;-&quot;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color auto="1"/>
        <family val="2"/>
      </font>
      <numFmt numFmtId="165" formatCode="_(&quot;$&quot;\ * #,##0.00_);_(&quot;$&quot;\ * \(#,##0.00\);_(&quot;$&quot;\ * &quot;-&quot;??_);_(@_)"/>
      <fill>
        <patternFill patternType="none">
          <fgColor indexed="64"/>
          <bgColor auto="1"/>
        </patternFill>
      </fill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(&quot;$&quot;\ * #,##0.00_);_(&quot;$&quot;\ * \(#,##0.00\);_(&quot;$&quot;\ * &quot;-&quot;??_);_(@_)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&quot;$&quot;\ * #,##0.00_);_(&quot;$&quot;\ * \(#,##0.00\);_(&quot;$&quot;\ 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-&quot;$&quot;\ * #,##0.0_-;\-&quot;$&quot;\ * #,##0.0_-;_-&quot;$&quot;\ * &quot;-&quot;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-&quot;$&quot;\ * #,##0.0_-;\-&quot;$&quot;\ * #,##0.0_-;_-&quot;$&quot;\ * &quot;-&quot;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color auto="1"/>
        <family val="2"/>
      </font>
      <numFmt numFmtId="165" formatCode="_(&quot;$&quot;\ * #,##0.00_);_(&quot;$&quot;\ * \(#,##0.00\);_(&quot;$&quot;\ * &quot;-&quot;??_);_(@_)"/>
      <fill>
        <patternFill patternType="none">
          <bgColor auto="1"/>
        </patternFill>
      </fill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(&quot;$&quot;\ * #,##0.00_);_(&quot;$&quot;\ * \(#,##0.00\);_(&quot;$&quot;\ * &quot;-&quot;??_);_(@_)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&quot;$&quot;\ * #,##0.00_);_(&quot;$&quot;\ * \(#,##0.00\);_(&quot;$&quot;\ 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-&quot;$&quot;\ * #,##0.0_-;\-&quot;$&quot;\ * #,##0.0_-;_-&quot;$&quot;\ * &quot;-&quot;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-&quot;$&quot;\ * #,##0.0_-;\-&quot;$&quot;\ * #,##0.0_-;_-&quot;$&quot;\ * &quot;-&quot;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color auto="1"/>
        <family val="2"/>
      </font>
      <numFmt numFmtId="165" formatCode="_(&quot;$&quot;\ * #,##0.00_);_(&quot;$&quot;\ * \(#,##0.00\);_(&quot;$&quot;\ * &quot;-&quot;??_);_(@_)"/>
      <fill>
        <patternFill patternType="none">
          <bgColor auto="1"/>
        </patternFill>
      </fill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(&quot;$&quot;\ * #,##0.00_);_(&quot;$&quot;\ * \(#,##0.00\);_(&quot;$&quot;\ * &quot;-&quot;??_);_(@_)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&quot;$&quot;\ * #,##0.00_);_(&quot;$&quot;\ * \(#,##0.00\);_(&quot;$&quot;\ 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-&quot;$&quot;\ * #,##0.0_-;\-&quot;$&quot;\ * #,##0.0_-;_-&quot;$&quot;\ * &quot;-&quot;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-&quot;$&quot;\ * #,##0.0_-;\-&quot;$&quot;\ * #,##0.0_-;_-&quot;$&quot;\ * &quot;-&quot;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color auto="1"/>
        <family val="2"/>
      </font>
      <numFmt numFmtId="165" formatCode="_(&quot;$&quot;\ * #,##0.00_);_(&quot;$&quot;\ * \(#,##0.00\);_(&quot;$&quot;\ * &quot;-&quot;??_);_(@_)"/>
      <fill>
        <patternFill patternType="none">
          <bgColor auto="1"/>
        </patternFill>
      </fill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5" formatCode="_(&quot;$&quot;\ * #,##0.00_);_(&quot;$&quot;\ * \(#,##0.00\);_(&quot;$&quot;\ * &quot;-&quot;??_);_(@_)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&quot;$&quot;\ * #,##0.00_);_(&quot;$&quot;\ * \(#,##0.00\);_(&quot;$&quot;\ 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34" formatCode="_-&quot;$&quot;\ * #,##0.00_-;\-&quot;$&quot;\ * #,##0.00_-;_-&quot;$&quot;\ * &quot;-&quot;??_-;_-@_-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34" formatCode="_-&quot;$&quot;\ * #,##0.00_-;\-&quot;$&quot;\ * #,##0.00_-;_-&quot;$&quot;\ * &quot;-&quot;??_-;_-@_-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9" formatCode="d/mm/yyyy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2" formatCode="mmm\-yy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color auto="1"/>
        <family val="2"/>
      </font>
      <numFmt numFmtId="165" formatCode="_(&quot;$&quot;\ * #,##0.00_);_(&quot;$&quot;\ * \(#,##0.00\);_(&quot;$&quot;\ * &quot;-&quot;??_);_(@_)"/>
      <fill>
        <patternFill patternType="none">
          <bgColor auto="1"/>
        </patternFill>
      </fill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color auto="1"/>
        <family val="2"/>
      </font>
      <numFmt numFmtId="165" formatCode="_(&quot;$&quot;\ * #,##0.00_);_(&quot;$&quot;\ * \(#,##0.00\);_(&quot;$&quot;\ * &quot;-&quot;??_);_(@_)"/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&quot;$&quot;\ * #,##0.00_);_(&quot;$&quot;\ * \(#,##0.00\);_(&quot;$&quot;\ * &quot;-&quot;??_);_(@_)"/>
      <fill>
        <patternFill patternType="none">
          <fgColor theme="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_-&quot;$&quot;\ * #,##0.0_-;\-&quot;$&quot;\ * #,##0.0_-;_-&quot;$&quot;\ * &quot;-&quot;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166" formatCode="_-&quot;$&quot;\ * #,##0.0_-;\-&quot;$&quot;\ * #,##0.0_-;_-&quot;$&quot;\ * &quot;-&quot;?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2" formatCode="mmm\-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family val="2"/>
      </font>
      <numFmt numFmtId="168" formatCode="_(&quot;$&quot;\ * #.##000_);_(&quot;$&quot;\ * \(#.##000\);_(&quot;$&quot;\ * &quot;-&quot;??_);_(@_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  <family val="2"/>
      </font>
      <numFmt numFmtId="168" formatCode="_(&quot;$&quot;\ * #.##000_);_(&quot;$&quot;\ * \(#.##000\);_(&quot;$&quot;\ * &quot;-&quot;??_);_(@_)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&quot;$&quot;\ * #,##0.00_);_(&quot;$&quot;\ * \(#,##0.00\);_(&quot;$&quot;\ * &quot;-&quot;??_);_(@_)"/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2758E0-DB55-41E0-A04C-0B7101FDBCE9}" name="Datos" displayName="Datos" ref="B2:I82" totalsRowCount="1" headerRowDxfId="209" dataDxfId="208" totalsRowDxfId="207" headerRowCellStyle="Moneda">
  <autoFilter ref="B2:I81" xr:uid="{182758E0-DB55-41E0-A04C-0B7101FDBCE9}"/>
  <tableColumns count="8">
    <tableColumn id="1" xr3:uid="{6343CEDB-7757-4C88-B0B4-09EE837139A1}" name="Año" totalsRowLabel="Total" dataDxfId="206" totalsRowDxfId="205"/>
    <tableColumn id="2" xr3:uid="{F349DC69-1749-4A3A-9361-EA16B5BBD115}" name="Mes" totalsRowFunction="count" dataDxfId="204" totalsRowDxfId="203"/>
    <tableColumn id="3" xr3:uid="{47686FE8-3D99-42C1-93A4-CE75BBB9DF38}" name="Fecha de exigibilidad " dataDxfId="202" totalsRowDxfId="201"/>
    <tableColumn id="5" xr3:uid="{F25C8551-FEF8-4E11-BB37-C5535B6664D3}" name="Valor del capital" totalsRowFunction="sum" dataDxfId="200" totalsRowDxfId="199">
      <calculatedColumnFormula>VLOOKUP(Datos[[#This Row],[Año]],Tabla1[],4,FALSE)</calculatedColumnFormula>
    </tableColumn>
    <tableColumn id="6" xr3:uid="{3416DCE0-E901-45BD-8739-349A784FC50E}" name="Valor Pagado " totalsRowFunction="sum" dataDxfId="198" totalsRowDxfId="197"/>
    <tableColumn id="7" xr3:uid="{93019CAD-4600-4D0C-BEFF-F7F2EF972DF4}" name="Subsaldo" dataDxfId="196" totalsRowDxfId="195">
      <calculatedColumnFormula>(Datos[[#This Row],[Valor del capital]]-Datos[[#This Row],[Valor Pagado ]])+I2</calculatedColumnFormula>
    </tableColumn>
    <tableColumn id="8" xr3:uid="{2C25CF22-8F18-44E5-B699-9C1896A56933}" name="Interes" totalsRowFunction="sum" dataDxfId="194" totalsRowDxfId="193">
      <calculatedColumnFormula>IF(Datos[[#This Row],[Subsaldo]]*$L$4&lt;0,0,Datos[[#This Row],[Subsaldo]]*$L$4)</calculatedColumnFormula>
    </tableColumn>
    <tableColumn id="9" xr3:uid="{13916B26-EC43-463C-9D4F-691B5BCEC9EA}" name="Saldo" totalsRowFunction="custom" dataDxfId="192" totalsRowDxfId="191">
      <calculatedColumnFormula>Datos[[#This Row],[Subsaldo]]+Datos[[#This Row],[Interes]]</calculatedColumnFormula>
      <totalsRowFormula>I81</totalsRowFormula>
    </tableColumn>
  </tableColumns>
  <tableStyleInfo name="TableStyleMedium1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05F40BC-9E54-49CB-BF09-775BF4C9BB9B}" name="Tabla918" displayName="Tabla918" ref="C77:J90" totalsRowCount="1" headerRowDxfId="66" dataDxfId="64" totalsRowDxfId="62" headerRowBorderDxfId="65" tableBorderDxfId="63" totalsRowBorderDxfId="61" headerRowCellStyle="Moneda">
  <autoFilter ref="C77:J89" xr:uid="{D05F40BC-9E54-49CB-BF09-775BF4C9BB9B}"/>
  <tableColumns count="8">
    <tableColumn id="1" xr3:uid="{ABE0B3C3-7600-4520-AC93-E34E9B45CCBC}" name="año" totalsRowLabel="Total" dataDxfId="60" totalsRowDxfId="59"/>
    <tableColumn id="2" xr3:uid="{D339E034-557E-49F0-B68F-597CA4F24877}" name="Mes" dataDxfId="58" totalsRowDxfId="57"/>
    <tableColumn id="3" xr3:uid="{53656CAF-7FBD-4851-9B93-3D00134EB42E}" name="Fecha de exigibilidad " dataDxfId="56" totalsRowDxfId="55"/>
    <tableColumn id="4" xr3:uid="{6FA719AB-C6E5-4086-AC54-3B9755AB80D9}" name="Cuota" dataDxfId="54" totalsRowDxfId="53">
      <calculatedColumnFormula>VLOOKUP(Tabla918[[#This Row],[año]],Tabla1[],4,FALSE)</calculatedColumnFormula>
    </tableColumn>
    <tableColumn id="5" xr3:uid="{721426AE-EF76-4781-951E-6A38D8DAC7F1}" name="Valor Pagado " dataDxfId="52" totalsRowDxfId="51"/>
    <tableColumn id="6" xr3:uid="{D67CBDE5-540F-43F1-B570-9520D1D10F55}" name="Subsaldo" totalsRowFunction="custom" dataDxfId="50" totalsRowDxfId="49">
      <calculatedColumnFormula>Tabla918[[#This Row],[Cuota]]-Tabla918[[#This Row],[Valor Pagado ]]</calculatedColumnFormula>
      <totalsRowFormula>SUM(Tabla918[Subsaldo])</totalsRowFormula>
    </tableColumn>
    <tableColumn id="7" xr3:uid="{E7B256A1-61D3-4620-B45E-85F308105C7D}" name="Interes" totalsRowFunction="custom" dataDxfId="48" totalsRowDxfId="47">
      <calculatedColumnFormula>IF(Tabla918[[#This Row],[Valor Pagado ]]&gt;=Tabla918[[#This Row],[Cuota]],0,Tabla918[[#This Row],[Cuota]]*$M$3)</calculatedColumnFormula>
      <totalsRowFormula>(Tabla918[[#Totals],[Subsaldo]]*(M3*COUNTIF(Tabla918[Subsaldo],"&gt;0")))+(Tabla817[[#Totals],[Interes]]+Tabla817[[#Totals],[Interes]]*M4)</totalsRowFormula>
    </tableColumn>
    <tableColumn id="8" xr3:uid="{E823CA3C-2D4F-4007-89F1-4CC12EC44566}" name="Saldo" totalsRowFunction="custom" dataDxfId="46" totalsRowDxfId="45">
      <calculatedColumnFormula>Tabla918[[#This Row],[Subsaldo]]+Tabla918[[#This Row],[Interes]]</calculatedColumnFormula>
      <totalsRowFormula>Tabla918[[#Totals],[Subsaldo]]+Tabla918[[#Totals],[Interes]]</totalsRowFormula>
    </tableColumn>
  </tableColumns>
  <tableStyleInfo name="TableStyleMedium1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869706C-9E9F-4B00-AF65-D320CCFA7785}" name="Tabla1019" displayName="Tabla1019" ref="C92:J105" totalsRowCount="1" headerRowDxfId="44" dataDxfId="42" totalsRowDxfId="40" headerRowBorderDxfId="43" tableBorderDxfId="41" totalsRowBorderDxfId="39" headerRowCellStyle="Moneda">
  <autoFilter ref="C92:J104" xr:uid="{A869706C-9E9F-4B00-AF65-D320CCFA7785}"/>
  <tableColumns count="8">
    <tableColumn id="1" xr3:uid="{97EE83B4-F3F2-466C-B99E-807642123C19}" name="año" totalsRowLabel="Total" dataDxfId="38" totalsRowDxfId="37"/>
    <tableColumn id="2" xr3:uid="{7D80A012-935A-4173-99EF-900C602007C4}" name="Mes" dataDxfId="36" totalsRowDxfId="35"/>
    <tableColumn id="3" xr3:uid="{ED28B511-5E06-4CA6-A055-25D3EBBAEAF4}" name="Fecha de exigibilidad " dataDxfId="34" totalsRowDxfId="33"/>
    <tableColumn id="4" xr3:uid="{B05544FA-45B8-4563-9D7B-A08123213C2F}" name="Cuota" dataDxfId="32" totalsRowDxfId="31">
      <calculatedColumnFormula>VLOOKUP(Tabla1019[[#This Row],[año]],Tabla1[],4,FALSE)</calculatedColumnFormula>
    </tableColumn>
    <tableColumn id="5" xr3:uid="{996DA481-7067-48C8-A112-92C7BB871D86}" name="Valor Pagado " dataDxfId="30" totalsRowDxfId="29"/>
    <tableColumn id="6" xr3:uid="{45798C3A-BAE9-41EA-B5B0-B17EA08362D9}" name="Subsaldo" totalsRowFunction="custom" dataDxfId="28" totalsRowDxfId="27">
      <calculatedColumnFormula>Tabla1019[[#This Row],[Cuota]]-Tabla1019[[#This Row],[Valor Pagado ]]</calculatedColumnFormula>
      <totalsRowFormula>SUM(Tabla1019[Subsaldo])</totalsRowFormula>
    </tableColumn>
    <tableColumn id="7" xr3:uid="{1783C191-E1DF-4254-89A5-B37228C8BD5E}" name="Interes" totalsRowFunction="custom" dataDxfId="26" totalsRowDxfId="25">
      <calculatedColumnFormula>IF(Tabla1019[[#This Row],[Valor Pagado ]]&gt;=Tabla1019[[#This Row],[Cuota]],0,Tabla1019[[#This Row],[Cuota]]*$M$3)</calculatedColumnFormula>
      <totalsRowFormula>(Tabla1019[[#Totals],[Subsaldo]]*(M3*COUNTIF(Tabla1019[Subsaldo],"&gt;0")))+(Tabla918[[#Totals],[Interes]]+Tabla918[[#Totals],[Interes]]*M4)</totalsRowFormula>
    </tableColumn>
    <tableColumn id="8" xr3:uid="{37011759-8A6B-4BFF-9C38-5D3DC4B71941}" name="Saldo" totalsRowFunction="custom" dataDxfId="24" totalsRowDxfId="23">
      <calculatedColumnFormula>Tabla1019[[#This Row],[Subsaldo]]+Tabla1019[[#This Row],[Interes]]</calculatedColumnFormula>
      <totalsRowFormula>Tabla1019[[#Totals],[Subsaldo]]+Tabla1019[[#Totals],[Interes]]</totalsRowFormula>
    </tableColumn>
  </tableColumns>
  <tableStyleInfo name="TableStyleMedium1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43DBD3E-391B-4A17-AC70-5B02D9D2614C}" name="Tabla1120" displayName="Tabla1120" ref="C107:J114" totalsRowCount="1" headerRowDxfId="22" dataDxfId="20" totalsRowDxfId="18" headerRowBorderDxfId="21" tableBorderDxfId="19" totalsRowBorderDxfId="17" headerRowCellStyle="Moneda">
  <autoFilter ref="C107:J113" xr:uid="{243DBD3E-391B-4A17-AC70-5B02D9D2614C}"/>
  <tableColumns count="8">
    <tableColumn id="1" xr3:uid="{F724F045-0FE1-46D8-BB08-DB9D327D44D7}" name="año" totalsRowLabel="Total" dataDxfId="16" totalsRowDxfId="15"/>
    <tableColumn id="2" xr3:uid="{CF3C4636-D53F-4F95-91C2-ECA23372075E}" name="Mes" dataDxfId="14" totalsRowDxfId="13"/>
    <tableColumn id="3" xr3:uid="{9271EA71-47FC-4F99-A1B1-3719E4E20F52}" name="Fecha de exigibilidad " dataDxfId="12" totalsRowDxfId="11"/>
    <tableColumn id="4" xr3:uid="{FCFD2208-D0AD-4DBA-815B-BA245D8436FD}" name="Cuota" dataDxfId="10" totalsRowDxfId="9">
      <calculatedColumnFormula>VLOOKUP(Tabla1120[[#This Row],[año]],Tabla1[],4,FALSE)</calculatedColumnFormula>
    </tableColumn>
    <tableColumn id="5" xr3:uid="{DD644085-4D99-4F72-8325-BE9E276E5D37}" name="Valor Pagado " dataDxfId="8" totalsRowDxfId="7"/>
    <tableColumn id="6" xr3:uid="{58D0B7DE-29A3-4959-8558-3E0E90C3E8BA}" name="Subsaldo" totalsRowFunction="custom" dataDxfId="6" totalsRowDxfId="5">
      <calculatedColumnFormula>Tabla1120[[#This Row],[Cuota]]-Tabla1120[[#This Row],[Valor Pagado ]]</calculatedColumnFormula>
      <totalsRowFormula>SUM(Tabla1120[Subsaldo])</totalsRowFormula>
    </tableColumn>
    <tableColumn id="7" xr3:uid="{75B68351-887E-4D5A-A50C-8DDB5A449D63}" name="Interes" totalsRowFunction="custom" dataDxfId="4" totalsRowDxfId="3">
      <calculatedColumnFormula>IF(Tabla1120[[#This Row],[Valor Pagado ]]&gt;=Tabla1120[[#This Row],[Cuota]],0,Tabla1120[[#This Row],[Cuota]]*$M$3)</calculatedColumnFormula>
      <totalsRowFormula>(Tabla1120[[#Totals],[Subsaldo]]*(M3*COUNTIF(Tabla1120[Subsaldo],"&gt;0")))+Tabla1019[[#Totals],[Interes]]+Tabla1019[[#Totals],[Interes]]*M4</totalsRowFormula>
    </tableColumn>
    <tableColumn id="8" xr3:uid="{D42B544D-8433-4DCA-91FE-3C4097867A00}" name="Saldo" totalsRowFunction="custom" dataDxfId="2" totalsRowDxfId="1">
      <calculatedColumnFormula>Tabla1120[[#This Row],[Subsaldo]]+Tabla1120[[#This Row],[Interes]]</calculatedColumnFormula>
      <totalsRowFormula>Tabla1120[[#Totals],[Subsaldo]]+Tabla1120[[#Totals],[Interes]]</totalsRowFormula>
    </tableColumn>
  </tableColumns>
  <tableStyleInfo name="TableStyleMedium1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874724E-00F7-446D-A973-3681D4B106FD}" name="Tabla21" displayName="Tabla21" ref="L2:M4" totalsRowShown="0">
  <autoFilter ref="L2:M4" xr:uid="{0874724E-00F7-446D-A973-3681D4B106FD}"/>
  <tableColumns count="2">
    <tableColumn id="1" xr3:uid="{A981ADCC-1145-4B40-B5DB-F7EEFD724D26}" name="Periodo" dataDxfId="0"/>
    <tableColumn id="2" xr3:uid="{69E1CFC8-2341-40A5-BC52-2FF6531C8D4A}" name="Interes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D394CA0-BCCA-4BB1-9BB5-DE2FD002A135}" name="Tabla20" displayName="Tabla20" ref="K2:L4" totalsRowShown="0" headerRowDxfId="190" dataDxfId="189">
  <autoFilter ref="K2:L4" xr:uid="{CD394CA0-BCCA-4BB1-9BB5-DE2FD002A135}"/>
  <tableColumns count="2">
    <tableColumn id="1" xr3:uid="{2362B064-3F31-4527-B178-4586C1C70F74}" name="Periodo" dataDxfId="188"/>
    <tableColumn id="2" xr3:uid="{0C93E4FE-3B8A-46DA-B533-58D7C26D1E48}" name="Interes" dataDxfId="187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841CEE-3CD5-4963-A036-FCF454A8FF55}" name="Tabla1" displayName="Tabla1" ref="B3:E30" totalsRowShown="0" headerRowDxfId="186" dataDxfId="185">
  <autoFilter ref="B3:E30" xr:uid="{74841CEE-3CD5-4963-A036-FCF454A8FF55}"/>
  <tableColumns count="4">
    <tableColumn id="1" xr3:uid="{0F137BA0-EB2C-4F3D-8015-D4D270376EEB}" name="Año" dataDxfId="184"/>
    <tableColumn id="2" xr3:uid="{17C12403-56C8-4DE2-9811-FC96F6C73512}" name="Cuota " dataDxfId="183">
      <calculatedColumnFormula>E3</calculatedColumnFormula>
    </tableColumn>
    <tableColumn id="3" xr3:uid="{69265C46-610C-465B-BA04-6A67A3F32AD2}" name="Incremento" dataDxfId="182"/>
    <tableColumn id="4" xr3:uid="{AB7AB8C9-C5F5-4CB4-8DBC-B251B3C87A26}" name="Nueva cuota" dataDxfId="181">
      <calculatedColumnFormula>Tabla1[[#This Row],[Cuota ]]+(Tabla1[[#This Row],[Cuota ]]*Tabla1[[#This Row],[Incremento]]%)</calculatedColumnFormula>
    </tableColumn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47A1F49-B415-4007-B87A-7E9B1D48109C}" name="Tabla3" displayName="Tabla3" ref="H3:K30" totalsRowShown="0" headerRowDxfId="180" dataDxfId="179">
  <autoFilter ref="H3:K30" xr:uid="{747A1F49-B415-4007-B87A-7E9B1D48109C}"/>
  <tableColumns count="4">
    <tableColumn id="1" xr3:uid="{1669300D-C2C7-41ED-B877-4D8E7FB69D20}" name="Año" dataDxfId="178"/>
    <tableColumn id="2" xr3:uid="{E218BEBD-2E93-41C3-8D1C-71F929969809}" name="Cuota " dataDxfId="177"/>
    <tableColumn id="3" xr3:uid="{3422AFA1-663C-497A-9D81-B0808098A0AE}" name="Incremento" dataDxfId="176"/>
    <tableColumn id="4" xr3:uid="{CA5EDAD0-502A-49B7-A3F6-8A1543438F68}" name="Nueva cuota" dataDxfId="175"/>
  </tableColumns>
  <tableStyleInfo name="TableStyleMedium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06A8458-8803-47BF-A37F-6C10B0E46A20}" name="Tabla413" displayName="Tabla413" ref="C2:J15" totalsRowCount="1" headerRowDxfId="174" dataDxfId="173" totalsRowDxfId="171" tableBorderDxfId="172" headerRowCellStyle="Moneda">
  <autoFilter ref="C2:J14" xr:uid="{E06A8458-8803-47BF-A37F-6C10B0E46A20}"/>
  <tableColumns count="8">
    <tableColumn id="1" xr3:uid="{208C4C55-2BB8-4308-9C74-09E00108CDFC}" name="año" totalsRowLabel="Total" dataDxfId="170" totalsRowDxfId="169"/>
    <tableColumn id="2" xr3:uid="{3C1D7802-307A-44B9-9F18-BE35DFFF75B7}" name="Mes" dataDxfId="168" totalsRowDxfId="167"/>
    <tableColumn id="3" xr3:uid="{F555EA0B-56B0-45BF-9FE5-A6C381F8E59B}" name="Fecha de exigibilidad " dataDxfId="166" totalsRowDxfId="165"/>
    <tableColumn id="4" xr3:uid="{D7067AFA-9FBE-4382-A8CE-63745ADEDAD6}" name="Cuota" dataDxfId="164" totalsRowDxfId="163">
      <calculatedColumnFormula>VLOOKUP(C3,Tabla1[],4,FALSE)</calculatedColumnFormula>
    </tableColumn>
    <tableColumn id="5" xr3:uid="{5BE508C6-C533-490B-8A0A-7B5CD2D984B4}" name="Valor Pagado " dataDxfId="162" totalsRowDxfId="161"/>
    <tableColumn id="6" xr3:uid="{A275985F-B113-4090-9407-A254198063CB}" name="Subsaldo" totalsRowFunction="custom" dataDxfId="160" totalsRowDxfId="159">
      <calculatedColumnFormula>Tabla413[[#This Row],[Cuota]]-Tabla413[[#This Row],[Valor Pagado ]]</calculatedColumnFormula>
      <totalsRowFormula>SUM(Tabla413[Subsaldo])</totalsRowFormula>
    </tableColumn>
    <tableColumn id="7" xr3:uid="{4654E55A-A294-4521-8D80-9101CFB8705D}" name="Interes" totalsRowLabel=" $ 63.000,00 " dataDxfId="158" totalsRowDxfId="157">
      <calculatedColumnFormula>IF(Tabla413[[#This Row],[Valor Pagado ]]&gt;=Tabla413[[#This Row],[Cuota]],0,Tabla413[[#This Row],[Cuota]]*$M$3)</calculatedColumnFormula>
    </tableColumn>
    <tableColumn id="8" xr3:uid="{B7DE69B2-FEC2-47E3-BAC1-7D9EF3A3D8CE}" name="Saldo" totalsRowFunction="custom" dataDxfId="156" totalsRowDxfId="155">
      <calculatedColumnFormula>Tabla413[[#This Row],[Subsaldo]]+Tabla413[[#This Row],[Interes]]</calculatedColumnFormula>
      <totalsRowFormula>Tabla413[[#Totals],[Subsaldo]]+Tabla413[[#Totals],[Interes]]</totalsRowFormula>
    </tableColumn>
  </tableColumns>
  <tableStyleInfo name="TableStyleMedium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CB6CB14-E6C9-4E62-9EE2-45163745203D}" name="Tabla514" displayName="Tabla514" ref="C17:J30" totalsRowCount="1" headerRowDxfId="154" dataDxfId="152" totalsRowDxfId="150" headerRowBorderDxfId="153" tableBorderDxfId="151" totalsRowBorderDxfId="149" headerRowCellStyle="Moneda">
  <autoFilter ref="C17:J29" xr:uid="{4CB6CB14-E6C9-4E62-9EE2-45163745203D}"/>
  <tableColumns count="8">
    <tableColumn id="1" xr3:uid="{376BAE9F-CCE0-4795-BFE0-C867FFC8F22E}" name="año" totalsRowLabel="Total" dataDxfId="148" totalsRowDxfId="147"/>
    <tableColumn id="2" xr3:uid="{90E9A07A-5A90-4664-BA12-2B199BA173A3}" name="Mes" dataDxfId="146" totalsRowDxfId="145"/>
    <tableColumn id="3" xr3:uid="{5D985DB4-3B57-41FF-9A5D-BAC1552037B5}" name="Fecha de exigibilidad " dataDxfId="144" totalsRowDxfId="143"/>
    <tableColumn id="4" xr3:uid="{E93603E1-3E92-496B-9674-18A73619835D}" name="Cuota" dataDxfId="142" totalsRowDxfId="141">
      <calculatedColumnFormula>VLOOKUP(Tabla514[[#This Row],[año]],Tabla1[],4,FALSE)</calculatedColumnFormula>
    </tableColumn>
    <tableColumn id="5" xr3:uid="{7F2FAB29-E292-4685-9599-72A0DFE72F6C}" name="Valor Pagado " dataDxfId="140" totalsRowDxfId="139"/>
    <tableColumn id="6" xr3:uid="{FF37F5FE-4B2E-4A5A-A990-72735CC7F2AB}" name="Subsaldo" totalsRowFunction="custom" dataDxfId="138" totalsRowDxfId="137">
      <calculatedColumnFormula>Tabla514[[#This Row],[Cuota]]-Tabla514[[#This Row],[Valor Pagado ]]</calculatedColumnFormula>
      <totalsRowFormula>SUM(Tabla514[Subsaldo])</totalsRowFormula>
    </tableColumn>
    <tableColumn id="7" xr3:uid="{C623CE32-2A3D-4568-85FA-14DDD2999D78}" name="Interes" totalsRowFunction="custom" dataDxfId="136" totalsRowDxfId="135">
      <calculatedColumnFormula>IF(Tabla514[[#This Row],[Valor Pagado ]]&gt;=Tabla514[[#This Row],[Cuota]],0,Tabla514[[#This Row],[Cuota]]*$M$3)</calculatedColumnFormula>
      <totalsRowFormula>(Tabla514[[#Totals],[Subsaldo]]*(M3*COUNTIF(Tabla514[Subsaldo],"&gt;0")))+(Tabla413[[#Totals],[Interes]]+Tabla413[[#Totals],[Interes]]*M4)</totalsRowFormula>
    </tableColumn>
    <tableColumn id="8" xr3:uid="{93FA00F0-8619-4073-857A-89D1AEF7C240}" name="Saldo" totalsRowFunction="custom" dataDxfId="134" totalsRowDxfId="133">
      <calculatedColumnFormula>Tabla514[[#This Row],[Subsaldo]]+Tabla514[[#This Row],[Interes]]</calculatedColumnFormula>
      <totalsRowFormula>Tabla514[[#Totals],[Subsaldo]]+Tabla514[[#Totals],[Interes]]</totalsRowFormula>
    </tableColumn>
  </tableColumns>
  <tableStyleInfo name="TableStyleMedium1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FAB1990-CF19-4B13-AC4D-CE8AD5F0CC20}" name="Tabla615" displayName="Tabla615" ref="C32:J45" totalsRowCount="1" headerRowDxfId="132" dataDxfId="130" totalsRowDxfId="128" headerRowBorderDxfId="131" tableBorderDxfId="129" totalsRowBorderDxfId="127" headerRowCellStyle="Moneda">
  <autoFilter ref="C32:J44" xr:uid="{FFAB1990-CF19-4B13-AC4D-CE8AD5F0CC20}"/>
  <tableColumns count="8">
    <tableColumn id="1" xr3:uid="{858532AC-B77F-4AA1-AEA5-672D6F253876}" name="año" totalsRowLabel="Total" dataDxfId="126" totalsRowDxfId="125"/>
    <tableColumn id="2" xr3:uid="{9BEFA336-018B-452B-ACBE-E2C71DDEB7A2}" name="Mes" dataDxfId="124" totalsRowDxfId="123"/>
    <tableColumn id="3" xr3:uid="{4B215974-34F1-42F2-98F4-C44632BDE948}" name="Fecha de exigibilidad " dataDxfId="122" totalsRowDxfId="121"/>
    <tableColumn id="4" xr3:uid="{135868E9-C53D-4288-B507-1149DEA45483}" name="Cuota" dataDxfId="120" totalsRowDxfId="119">
      <calculatedColumnFormula>VLOOKUP(Tabla615[[#This Row],[año]],Tabla1[],4,FALSE)</calculatedColumnFormula>
    </tableColumn>
    <tableColumn id="5" xr3:uid="{A14744D9-27A0-483A-8491-398EAE356D58}" name="Valor Pagado " dataDxfId="118" totalsRowDxfId="117"/>
    <tableColumn id="6" xr3:uid="{EF50015B-96E2-47EE-A558-C89C00448F90}" name="Subsaldo" totalsRowFunction="custom" dataDxfId="116" totalsRowDxfId="115">
      <calculatedColumnFormula>Tabla615[[#This Row],[Cuota]]-Tabla615[[#This Row],[Valor Pagado ]]</calculatedColumnFormula>
      <totalsRowFormula>SUM(Tabla615[Subsaldo])</totalsRowFormula>
    </tableColumn>
    <tableColumn id="7" xr3:uid="{14B4DA2B-87F4-4CE3-97C7-8116105BA1E9}" name="Interes" totalsRowFunction="custom" dataDxfId="114" totalsRowDxfId="113">
      <calculatedColumnFormula>IF(Tabla615[[#This Row],[Valor Pagado ]]&gt;=Tabla615[[#This Row],[Cuota]],0,Tabla615[[#This Row],[Cuota]]*$M$3)</calculatedColumnFormula>
      <totalsRowFormula>(Tabla615[[#Totals],[Subsaldo]]*(M3*COUNTIF(Tabla615[Subsaldo],"&gt;0")))+(Tabla514[[#Totals],[Interes]]+Tabla514[[#Totals],[Interes]]*M4)</totalsRowFormula>
    </tableColumn>
    <tableColumn id="8" xr3:uid="{58D2A82F-CA52-4793-AF60-3DE05E89B6B2}" name="Saldo" totalsRowFunction="custom" dataDxfId="112" totalsRowDxfId="111">
      <calculatedColumnFormula>Tabla615[[#This Row],[Subsaldo]]+Tabla615[[#This Row],[Interes]]</calculatedColumnFormula>
      <totalsRowFormula>Tabla615[[#Totals],[Subsaldo]]+Tabla615[[#Totals],[Interes]]</totalsRowFormula>
    </tableColumn>
  </tableColumns>
  <tableStyleInfo name="TableStyleMedium1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6CC8219-6861-4F51-9115-BF08066BAB5E}" name="Tabla716" displayName="Tabla716" ref="C47:J60" totalsRowCount="1" headerRowDxfId="110" dataDxfId="108" totalsRowDxfId="106" headerRowBorderDxfId="109" tableBorderDxfId="107" totalsRowBorderDxfId="105" headerRowCellStyle="Moneda">
  <autoFilter ref="C47:J59" xr:uid="{C6CC8219-6861-4F51-9115-BF08066BAB5E}"/>
  <tableColumns count="8">
    <tableColumn id="1" xr3:uid="{E41E767A-73F1-4578-A358-58C0AB3E9002}" name="año" totalsRowLabel="Total" dataDxfId="104" totalsRowDxfId="103"/>
    <tableColumn id="2" xr3:uid="{E40F5B16-BA09-4E9A-A86A-82AB930775EA}" name="Mes" dataDxfId="102" totalsRowDxfId="101"/>
    <tableColumn id="3" xr3:uid="{12B4431C-448F-4528-BC49-E646B86827B6}" name="Fecha de exigibilidad " dataDxfId="100" totalsRowDxfId="99"/>
    <tableColumn id="4" xr3:uid="{EA6855AD-3982-4F7B-B8EC-73D7AC80C987}" name="Cuota" dataDxfId="98" totalsRowDxfId="97">
      <calculatedColumnFormula>VLOOKUP(Tabla716[[#This Row],[año]],Tabla1[],4,FALSE)</calculatedColumnFormula>
    </tableColumn>
    <tableColumn id="5" xr3:uid="{1CF1B9D1-A77C-4846-BD6F-125DA6F8F508}" name="Valor Pagado " dataDxfId="96" totalsRowDxfId="95"/>
    <tableColumn id="6" xr3:uid="{41F71E25-40D8-4BB0-823F-8978B9FA7AE6}" name="Subsaldo" totalsRowFunction="custom" dataDxfId="94" totalsRowDxfId="93">
      <calculatedColumnFormula>Tabla716[[#This Row],[Cuota]]-Tabla716[[#This Row],[Valor Pagado ]]</calculatedColumnFormula>
      <totalsRowFormula>SUM(Tabla716[Subsaldo])</totalsRowFormula>
    </tableColumn>
    <tableColumn id="7" xr3:uid="{E7395F30-14EC-41C7-998D-C5D9DC12006B}" name="Interes" totalsRowFunction="custom" dataDxfId="92" totalsRowDxfId="91">
      <calculatedColumnFormula>IF(Tabla716[[#This Row],[Valor Pagado ]]&gt;=Tabla716[[#This Row],[Cuota]],0,Tabla716[[#This Row],[Cuota]]*$M$3)</calculatedColumnFormula>
      <totalsRowFormula>(Tabla716[[#Totals],[Subsaldo]]*(M3*COUNTIF(Tabla716[Subsaldo],"&gt;0")))+(Tabla615[[#Totals],[Interes]]+Tabla615[[#Totals],[Interes]]*M4)</totalsRowFormula>
    </tableColumn>
    <tableColumn id="8" xr3:uid="{6DAE2944-275E-437E-9BAF-65EBCD36C0DC}" name="Saldo" totalsRowFunction="custom" dataDxfId="90" totalsRowDxfId="89">
      <calculatedColumnFormula>Tabla716[[#This Row],[Subsaldo]]+Tabla716[[#This Row],[Interes]]</calculatedColumnFormula>
      <totalsRowFormula>Tabla716[[#Totals],[Subsaldo]]+Tabla716[[#Totals],[Interes]]</totalsRowFormula>
    </tableColumn>
  </tableColumns>
  <tableStyleInfo name="TableStyleMedium1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02841F6-52D3-41D5-808B-B92BE52C2656}" name="Tabla817" displayName="Tabla817" ref="C62:J75" totalsRowCount="1" headerRowDxfId="88" dataDxfId="86" totalsRowDxfId="84" headerRowBorderDxfId="87" tableBorderDxfId="85" totalsRowBorderDxfId="83" headerRowCellStyle="Moneda">
  <autoFilter ref="C62:J74" xr:uid="{602841F6-52D3-41D5-808B-B92BE52C2656}"/>
  <tableColumns count="8">
    <tableColumn id="1" xr3:uid="{B133C808-3A2C-498E-9745-E704A9F2643B}" name="año" totalsRowLabel="Total" dataDxfId="82" totalsRowDxfId="81"/>
    <tableColumn id="2" xr3:uid="{25E90A40-4B48-4EE1-9A9F-85DD99102B5E}" name="Mes" dataDxfId="80" totalsRowDxfId="79"/>
    <tableColumn id="3" xr3:uid="{68101D38-F6F5-4C8A-9C31-B093D4F650B1}" name="Fecha de exigibilidad " dataDxfId="78" totalsRowDxfId="77"/>
    <tableColumn id="4" xr3:uid="{F8A58DD5-C6CB-4159-A584-9EAA7D7517D3}" name="Cuota" dataDxfId="76" totalsRowDxfId="75">
      <calculatedColumnFormula>VLOOKUP(Tabla817[[#This Row],[año]],Tabla1[],4,FALSE)</calculatedColumnFormula>
    </tableColumn>
    <tableColumn id="5" xr3:uid="{D44D563E-C658-4463-84A4-FCFC4A5A7870}" name="Valor Pagado " dataDxfId="74" totalsRowDxfId="73"/>
    <tableColumn id="6" xr3:uid="{56536D22-2003-441C-9D83-11CDD1A86945}" name="Subsaldo" totalsRowFunction="custom" dataDxfId="72" totalsRowDxfId="71">
      <calculatedColumnFormula>Tabla817[[#This Row],[Cuota]]-Tabla817[[#This Row],[Valor Pagado ]]</calculatedColumnFormula>
      <totalsRowFormula>SUM(Tabla817[Subsaldo])</totalsRowFormula>
    </tableColumn>
    <tableColumn id="7" xr3:uid="{B4D73286-7CD8-4E61-9655-33DA075714F8}" name="Interes" totalsRowFunction="custom" dataDxfId="70" totalsRowDxfId="69">
      <calculatedColumnFormula>IF(Tabla817[[#This Row],[Valor Pagado ]]&gt;=Tabla817[[#This Row],[Cuota]],0,Tabla817[[#This Row],[Cuota]]*$M$3)</calculatedColumnFormula>
      <totalsRowFormula>(Tabla817[[#Totals],[Subsaldo]]*(M3*COUNTIF(Tabla817[Subsaldo],"&gt;0")))+(Tabla716[[#Totals],[Interes]]+Tabla716[[#Totals],[Interes]]*M4)</totalsRowFormula>
    </tableColumn>
    <tableColumn id="8" xr3:uid="{9FD73874-9830-48AF-993A-E5184706D926}" name="Saldo" totalsRowFunction="custom" dataDxfId="68" totalsRowDxfId="67">
      <calculatedColumnFormula>Tabla817[[#This Row],[Subsaldo]]+Tabla817[[#This Row],[Interes]]</calculatedColumnFormula>
      <totalsRowFormula>Tabla817[[#Totals],[Subsaldo]]+Tabla817[[#Totals],[Interes]]</totalsRow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10" Type="http://schemas.openxmlformats.org/officeDocument/2006/relationships/table" Target="../tables/table13.xml"/><Relationship Id="rId4" Type="http://schemas.openxmlformats.org/officeDocument/2006/relationships/table" Target="../tables/table7.xml"/><Relationship Id="rId9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61D8D-5782-45AA-B018-DDE758D51D8A}">
  <dimension ref="B2:I128"/>
  <sheetViews>
    <sheetView showGridLines="0" showRowColHeaders="0" tabSelected="1" workbookViewId="0">
      <selection activeCell="D19" sqref="D19"/>
    </sheetView>
  </sheetViews>
  <sheetFormatPr baseColWidth="10" defaultColWidth="11" defaultRowHeight="14"/>
  <cols>
    <col min="1" max="1" width="11" style="10"/>
    <col min="2" max="2" width="17.5" style="10" bestFit="1" customWidth="1"/>
    <col min="3" max="3" width="18.08203125" style="10" customWidth="1"/>
    <col min="4" max="4" width="21" style="10" customWidth="1"/>
    <col min="5" max="5" width="20.25" style="10" bestFit="1" customWidth="1"/>
    <col min="6" max="6" width="11.83203125" style="10" bestFit="1" customWidth="1"/>
    <col min="7" max="7" width="21.33203125" style="10" bestFit="1" customWidth="1"/>
    <col min="8" max="8" width="14.25" style="10" bestFit="1" customWidth="1"/>
    <col min="9" max="9" width="14" style="10" bestFit="1" customWidth="1"/>
    <col min="10" max="11" width="11.33203125" style="10" customWidth="1"/>
    <col min="12" max="16384" width="11" style="10"/>
  </cols>
  <sheetData>
    <row r="2" spans="2:9">
      <c r="B2" s="12" t="s">
        <v>27</v>
      </c>
      <c r="C2" s="59" t="s">
        <v>28</v>
      </c>
      <c r="D2" s="59"/>
      <c r="E2" s="60"/>
    </row>
    <row r="3" spans="2:9">
      <c r="B3" s="12" t="s">
        <v>29</v>
      </c>
      <c r="C3" s="61" t="s">
        <v>32</v>
      </c>
      <c r="D3" s="61"/>
      <c r="E3" s="62"/>
    </row>
    <row r="4" spans="2:9">
      <c r="B4" s="12" t="s">
        <v>30</v>
      </c>
      <c r="C4" s="59" t="s">
        <v>31</v>
      </c>
      <c r="D4" s="59"/>
      <c r="E4" s="60"/>
    </row>
    <row r="5" spans="2:9">
      <c r="B5" s="12" t="s">
        <v>33</v>
      </c>
      <c r="C5" s="63">
        <v>44379</v>
      </c>
      <c r="D5" s="63"/>
      <c r="E5" s="64"/>
    </row>
    <row r="7" spans="2:9">
      <c r="B7" s="12" t="s">
        <v>34</v>
      </c>
      <c r="C7" s="13" t="s">
        <v>19</v>
      </c>
      <c r="D7" s="13" t="s">
        <v>20</v>
      </c>
      <c r="E7" s="14" t="s">
        <v>26</v>
      </c>
    </row>
    <row r="8" spans="2:9">
      <c r="B8" s="15" t="s">
        <v>18</v>
      </c>
      <c r="C8" s="17" t="s">
        <v>21</v>
      </c>
      <c r="D8" s="17" t="s">
        <v>22</v>
      </c>
      <c r="E8" s="18">
        <v>377224959</v>
      </c>
    </row>
    <row r="9" spans="2:9">
      <c r="B9" s="16" t="s">
        <v>23</v>
      </c>
      <c r="C9" s="19" t="s">
        <v>24</v>
      </c>
      <c r="D9" s="19" t="s">
        <v>25</v>
      </c>
      <c r="E9" s="20">
        <v>13723867</v>
      </c>
    </row>
    <row r="11" spans="2:9">
      <c r="B11" s="67" t="s">
        <v>43</v>
      </c>
      <c r="C11" s="68"/>
    </row>
    <row r="12" spans="2:9">
      <c r="B12" s="31" t="s">
        <v>35</v>
      </c>
      <c r="C12" s="21">
        <v>41978</v>
      </c>
      <c r="E12" s="65" t="s">
        <v>42</v>
      </c>
      <c r="F12" s="66"/>
    </row>
    <row r="13" spans="2:9">
      <c r="B13" s="58" t="s">
        <v>44</v>
      </c>
      <c r="C13" s="22"/>
      <c r="E13" s="29" t="s">
        <v>16</v>
      </c>
      <c r="F13" s="27">
        <v>5.0000000000000001E-3</v>
      </c>
      <c r="G13"/>
      <c r="H13"/>
      <c r="I13"/>
    </row>
    <row r="14" spans="2:9">
      <c r="B14" s="32" t="s">
        <v>36</v>
      </c>
      <c r="C14" s="23">
        <f>Datos[[#Totals],[Mes]]</f>
        <v>79</v>
      </c>
      <c r="E14" s="30" t="s">
        <v>17</v>
      </c>
      <c r="F14" s="28">
        <v>0.06</v>
      </c>
      <c r="G14"/>
      <c r="H14"/>
      <c r="I14"/>
    </row>
    <row r="15" spans="2:9">
      <c r="B15" s="32" t="s">
        <v>37</v>
      </c>
      <c r="C15" s="24">
        <f>Datos[[#Totals],[Interes]]</f>
        <v>3719178.8475422892</v>
      </c>
      <c r="G15"/>
    </row>
    <row r="16" spans="2:9">
      <c r="B16" s="32" t="s">
        <v>38</v>
      </c>
      <c r="C16" s="25">
        <f>Datos[[#Totals],[Valor Pagado ]]</f>
        <v>6639700</v>
      </c>
      <c r="G16"/>
    </row>
    <row r="17" spans="2:7">
      <c r="B17" s="32" t="s">
        <v>40</v>
      </c>
      <c r="C17" s="25">
        <f>Datos[[#Totals],[Valor del capital]]</f>
        <v>19730528.525839493</v>
      </c>
      <c r="E17" s="11"/>
      <c r="G17"/>
    </row>
    <row r="18" spans="2:7">
      <c r="B18" s="33" t="s">
        <v>39</v>
      </c>
      <c r="C18" s="26">
        <f>Datos[[#Totals],[Saldo]]</f>
        <v>16810007.373381775</v>
      </c>
      <c r="G18"/>
    </row>
    <row r="19" spans="2:7">
      <c r="E19"/>
      <c r="F19"/>
      <c r="G19"/>
    </row>
    <row r="20" spans="2:7">
      <c r="E20"/>
      <c r="F20"/>
      <c r="G20"/>
    </row>
    <row r="21" spans="2:7">
      <c r="E21"/>
      <c r="F21"/>
      <c r="G21"/>
    </row>
    <row r="22" spans="2:7">
      <c r="E22"/>
      <c r="F22"/>
      <c r="G22"/>
    </row>
    <row r="23" spans="2:7">
      <c r="E23"/>
      <c r="F23"/>
      <c r="G23"/>
    </row>
    <row r="24" spans="2:7">
      <c r="E24"/>
      <c r="F24"/>
      <c r="G24"/>
    </row>
    <row r="25" spans="2:7">
      <c r="E25"/>
      <c r="F25"/>
      <c r="G25"/>
    </row>
    <row r="26" spans="2:7">
      <c r="E26"/>
      <c r="F26"/>
      <c r="G26"/>
    </row>
    <row r="27" spans="2:7">
      <c r="E27"/>
      <c r="F27"/>
      <c r="G27"/>
    </row>
    <row r="28" spans="2:7">
      <c r="E28"/>
      <c r="F28"/>
      <c r="G28"/>
    </row>
    <row r="29" spans="2:7">
      <c r="E29"/>
      <c r="F29"/>
      <c r="G29"/>
    </row>
    <row r="30" spans="2:7">
      <c r="E30"/>
      <c r="F30"/>
      <c r="G30"/>
    </row>
    <row r="31" spans="2:7">
      <c r="E31"/>
    </row>
    <row r="32" spans="2:7">
      <c r="E32"/>
    </row>
    <row r="33" spans="5:5">
      <c r="E33"/>
    </row>
    <row r="34" spans="5:5">
      <c r="E34"/>
    </row>
    <row r="35" spans="5:5">
      <c r="E35"/>
    </row>
    <row r="36" spans="5:5">
      <c r="E36"/>
    </row>
    <row r="37" spans="5:5">
      <c r="E37"/>
    </row>
    <row r="38" spans="5:5">
      <c r="E38"/>
    </row>
    <row r="39" spans="5:5">
      <c r="E39"/>
    </row>
    <row r="40" spans="5:5">
      <c r="E40"/>
    </row>
    <row r="41" spans="5:5">
      <c r="E41"/>
    </row>
    <row r="42" spans="5:5">
      <c r="E42"/>
    </row>
    <row r="43" spans="5:5">
      <c r="E43"/>
    </row>
    <row r="44" spans="5:5">
      <c r="E44"/>
    </row>
    <row r="45" spans="5:5">
      <c r="E45"/>
    </row>
    <row r="46" spans="5:5">
      <c r="E46"/>
    </row>
    <row r="47" spans="5:5">
      <c r="E47"/>
    </row>
    <row r="48" spans="5:5">
      <c r="E48"/>
    </row>
    <row r="49" spans="5:5">
      <c r="E49"/>
    </row>
    <row r="50" spans="5:5">
      <c r="E50"/>
    </row>
    <row r="51" spans="5:5">
      <c r="E51"/>
    </row>
    <row r="52" spans="5:5">
      <c r="E52"/>
    </row>
    <row r="53" spans="5:5">
      <c r="E53"/>
    </row>
    <row r="54" spans="5:5">
      <c r="E54"/>
    </row>
    <row r="55" spans="5:5">
      <c r="E55"/>
    </row>
    <row r="56" spans="5:5">
      <c r="E56"/>
    </row>
    <row r="57" spans="5:5">
      <c r="E57"/>
    </row>
    <row r="58" spans="5:5">
      <c r="E58"/>
    </row>
    <row r="59" spans="5:5">
      <c r="E59"/>
    </row>
    <row r="60" spans="5:5">
      <c r="E60"/>
    </row>
    <row r="61" spans="5:5">
      <c r="E61"/>
    </row>
    <row r="62" spans="5:5">
      <c r="E62"/>
    </row>
    <row r="63" spans="5:5">
      <c r="E63"/>
    </row>
    <row r="64" spans="5:5">
      <c r="E64"/>
    </row>
    <row r="65" spans="5:5">
      <c r="E65"/>
    </row>
    <row r="66" spans="5:5">
      <c r="E66"/>
    </row>
    <row r="67" spans="5:5">
      <c r="E67"/>
    </row>
    <row r="68" spans="5:5">
      <c r="E68"/>
    </row>
    <row r="69" spans="5:5">
      <c r="E69"/>
    </row>
    <row r="70" spans="5:5">
      <c r="E70"/>
    </row>
    <row r="71" spans="5:5">
      <c r="E71"/>
    </row>
    <row r="72" spans="5:5">
      <c r="E72"/>
    </row>
    <row r="73" spans="5:5">
      <c r="E73"/>
    </row>
    <row r="74" spans="5:5">
      <c r="E74"/>
    </row>
    <row r="75" spans="5:5">
      <c r="E75"/>
    </row>
    <row r="76" spans="5:5">
      <c r="E76"/>
    </row>
    <row r="77" spans="5:5">
      <c r="E77"/>
    </row>
    <row r="78" spans="5:5">
      <c r="E78"/>
    </row>
    <row r="79" spans="5:5">
      <c r="E79"/>
    </row>
    <row r="80" spans="5:5">
      <c r="E80"/>
    </row>
    <row r="81" spans="5:5">
      <c r="E81"/>
    </row>
    <row r="82" spans="5:5">
      <c r="E82"/>
    </row>
    <row r="83" spans="5:5">
      <c r="E83"/>
    </row>
    <row r="84" spans="5:5">
      <c r="E84"/>
    </row>
    <row r="85" spans="5:5">
      <c r="E85"/>
    </row>
    <row r="86" spans="5:5">
      <c r="E86"/>
    </row>
    <row r="87" spans="5:5">
      <c r="E87"/>
    </row>
    <row r="88" spans="5:5">
      <c r="E88"/>
    </row>
    <row r="89" spans="5:5">
      <c r="E89"/>
    </row>
    <row r="90" spans="5:5">
      <c r="E90"/>
    </row>
    <row r="91" spans="5:5">
      <c r="E91"/>
    </row>
    <row r="92" spans="5:5">
      <c r="E92"/>
    </row>
    <row r="93" spans="5:5">
      <c r="E93"/>
    </row>
    <row r="94" spans="5:5">
      <c r="E94"/>
    </row>
    <row r="95" spans="5:5">
      <c r="E95"/>
    </row>
    <row r="96" spans="5:5">
      <c r="E96"/>
    </row>
    <row r="97" spans="5:5">
      <c r="E97"/>
    </row>
    <row r="98" spans="5:5">
      <c r="E98"/>
    </row>
    <row r="99" spans="5:5">
      <c r="E99"/>
    </row>
    <row r="100" spans="5:5">
      <c r="E100"/>
    </row>
    <row r="101" spans="5:5">
      <c r="E101"/>
    </row>
    <row r="102" spans="5:5">
      <c r="E102"/>
    </row>
    <row r="103" spans="5:5">
      <c r="E103"/>
    </row>
    <row r="104" spans="5:5">
      <c r="E104"/>
    </row>
    <row r="105" spans="5:5">
      <c r="E105"/>
    </row>
    <row r="106" spans="5:5">
      <c r="E106"/>
    </row>
    <row r="107" spans="5:5">
      <c r="E107"/>
    </row>
    <row r="108" spans="5:5">
      <c r="E108"/>
    </row>
    <row r="109" spans="5:5">
      <c r="E109"/>
    </row>
    <row r="110" spans="5:5">
      <c r="E110"/>
    </row>
    <row r="111" spans="5:5">
      <c r="E111"/>
    </row>
    <row r="112" spans="5:5">
      <c r="E112"/>
    </row>
    <row r="113" spans="5:5">
      <c r="E113"/>
    </row>
    <row r="114" spans="5:5">
      <c r="E114"/>
    </row>
    <row r="115" spans="5:5">
      <c r="E115"/>
    </row>
    <row r="116" spans="5:5">
      <c r="E116"/>
    </row>
    <row r="117" spans="5:5">
      <c r="E117"/>
    </row>
    <row r="118" spans="5:5">
      <c r="E118"/>
    </row>
    <row r="119" spans="5:5">
      <c r="E119"/>
    </row>
    <row r="120" spans="5:5">
      <c r="E120"/>
    </row>
    <row r="121" spans="5:5">
      <c r="E121"/>
    </row>
    <row r="122" spans="5:5">
      <c r="E122"/>
    </row>
    <row r="123" spans="5:5">
      <c r="E123"/>
    </row>
    <row r="124" spans="5:5">
      <c r="E124"/>
    </row>
    <row r="125" spans="5:5">
      <c r="E125"/>
    </row>
    <row r="126" spans="5:5">
      <c r="E126"/>
    </row>
    <row r="127" spans="5:5">
      <c r="E127"/>
    </row>
    <row r="128" spans="5:5">
      <c r="E128"/>
    </row>
  </sheetData>
  <mergeCells count="6">
    <mergeCell ref="C2:E2"/>
    <mergeCell ref="C3:E3"/>
    <mergeCell ref="C4:E4"/>
    <mergeCell ref="C5:E5"/>
    <mergeCell ref="E12:F12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A06F6-1629-4A95-A0E2-7A2573C278DC}">
  <dimension ref="B2:L1024"/>
  <sheetViews>
    <sheetView showGridLines="0" showRowColHeaders="0" topLeftCell="A70" zoomScaleNormal="100" workbookViewId="0">
      <selection activeCell="E9" sqref="E9"/>
    </sheetView>
  </sheetViews>
  <sheetFormatPr baseColWidth="10" defaultColWidth="12.58203125" defaultRowHeight="15" customHeight="1"/>
  <cols>
    <col min="1" max="1" width="12.58203125" style="9"/>
    <col min="2" max="3" width="9.33203125" style="9" customWidth="1"/>
    <col min="4" max="4" width="18.75" style="9" customWidth="1"/>
    <col min="5" max="5" width="16.75" style="9" bestFit="1" customWidth="1"/>
    <col min="6" max="7" width="15.08203125" style="9" bestFit="1" customWidth="1"/>
    <col min="8" max="8" width="13.08203125" style="9" bestFit="1" customWidth="1"/>
    <col min="9" max="9" width="16.25" style="9" bestFit="1" customWidth="1"/>
    <col min="10" max="10" width="14.83203125" style="9" bestFit="1" customWidth="1"/>
    <col min="11" max="12" width="17.58203125" style="9" bestFit="1" customWidth="1"/>
    <col min="13" max="13" width="17.08203125" style="9" bestFit="1" customWidth="1"/>
    <col min="14" max="18" width="9.33203125" style="9" customWidth="1"/>
    <col min="19" max="16384" width="12.58203125" style="9"/>
  </cols>
  <sheetData>
    <row r="2" spans="2:12" ht="15.5">
      <c r="B2" s="34" t="s">
        <v>2</v>
      </c>
      <c r="C2" s="46" t="s">
        <v>1</v>
      </c>
      <c r="D2" s="47" t="s">
        <v>7</v>
      </c>
      <c r="E2" s="48" t="s">
        <v>41</v>
      </c>
      <c r="F2" s="48" t="s">
        <v>9</v>
      </c>
      <c r="G2" s="48" t="s">
        <v>13</v>
      </c>
      <c r="H2" s="46" t="s">
        <v>11</v>
      </c>
      <c r="I2" s="46" t="s">
        <v>10</v>
      </c>
      <c r="K2" s="9" t="s">
        <v>15</v>
      </c>
      <c r="L2" s="9" t="s">
        <v>11</v>
      </c>
    </row>
    <row r="3" spans="2:12" ht="14">
      <c r="B3" s="9">
        <v>2014</v>
      </c>
      <c r="C3" s="49">
        <v>41974</v>
      </c>
      <c r="D3" s="50">
        <v>41978</v>
      </c>
      <c r="E3" s="8">
        <f>VLOOKUP(Datos[[#This Row],[Año]],Tabla1[],4,FALSE)</f>
        <v>200000</v>
      </c>
      <c r="F3" s="8">
        <v>0</v>
      </c>
      <c r="G3" s="8">
        <f>(Datos[[#This Row],[Valor del capital]]-Datos[[#This Row],[Valor Pagado ]])</f>
        <v>200000</v>
      </c>
      <c r="H3" s="51">
        <f>IF(Datos[[#This Row],[Subsaldo]]*$L$4&lt;0,0,Datos[[#This Row],[Subsaldo]]*$L$4)</f>
        <v>1000</v>
      </c>
      <c r="I3" s="8">
        <f>Datos[[#This Row],[Subsaldo]]+Datos[[#This Row],[Interes]]</f>
        <v>201000</v>
      </c>
      <c r="K3" s="9" t="s">
        <v>17</v>
      </c>
      <c r="L3" s="9">
        <f>6%</f>
        <v>0.06</v>
      </c>
    </row>
    <row r="4" spans="2:12" ht="14">
      <c r="B4" s="9">
        <v>2015</v>
      </c>
      <c r="C4" s="49">
        <v>42005</v>
      </c>
      <c r="D4" s="50">
        <v>42009</v>
      </c>
      <c r="E4" s="8">
        <f>VLOOKUP(Datos[[#This Row],[Año]],Tabla1[],4,FALSE)</f>
        <v>209200</v>
      </c>
      <c r="F4" s="8">
        <v>181700</v>
      </c>
      <c r="G4" s="8">
        <f>(Datos[[#This Row],[Valor del capital]]-Datos[[#This Row],[Valor Pagado ]])+I3</f>
        <v>228500</v>
      </c>
      <c r="H4" s="51">
        <f>IF(Datos[[#This Row],[Subsaldo]]*$L$4&lt;0,0,Datos[[#This Row],[Subsaldo]]*$L$4)</f>
        <v>1142.5</v>
      </c>
      <c r="I4" s="8">
        <f>Datos[[#This Row],[Subsaldo]]+Datos[[#This Row],[Interes]]</f>
        <v>229642.5</v>
      </c>
      <c r="K4" s="9" t="s">
        <v>16</v>
      </c>
      <c r="L4" s="52">
        <v>5.0000000000000001E-3</v>
      </c>
    </row>
    <row r="5" spans="2:12" ht="14">
      <c r="B5" s="9">
        <v>2015</v>
      </c>
      <c r="C5" s="49">
        <v>42036</v>
      </c>
      <c r="D5" s="50">
        <v>42040</v>
      </c>
      <c r="E5" s="8">
        <f>VLOOKUP(Datos[[#This Row],[Año]],Tabla1[],4,FALSE)</f>
        <v>209200</v>
      </c>
      <c r="F5" s="8">
        <v>0</v>
      </c>
      <c r="G5" s="8">
        <f>(Datos[[#This Row],[Valor del capital]]-Datos[[#This Row],[Valor Pagado ]])+I4</f>
        <v>438842.5</v>
      </c>
      <c r="H5" s="51">
        <f>IF(Datos[[#This Row],[Subsaldo]]*$L$4&lt;0,0,Datos[[#This Row],[Subsaldo]]*$L$4)</f>
        <v>2194.2125000000001</v>
      </c>
      <c r="I5" s="8">
        <f>Datos[[#This Row],[Subsaldo]]+Datos[[#This Row],[Interes]]</f>
        <v>441036.71250000002</v>
      </c>
    </row>
    <row r="6" spans="2:12" ht="14">
      <c r="B6" s="9">
        <v>2015</v>
      </c>
      <c r="C6" s="49">
        <v>42064</v>
      </c>
      <c r="D6" s="50">
        <v>42068</v>
      </c>
      <c r="E6" s="8">
        <f>VLOOKUP(Datos[[#This Row],[Año]],Tabla1[],4,FALSE)</f>
        <v>209200</v>
      </c>
      <c r="F6" s="8">
        <v>0</v>
      </c>
      <c r="G6" s="8">
        <f>(Datos[[#This Row],[Valor del capital]]-Datos[[#This Row],[Valor Pagado ]])+I5</f>
        <v>650236.71250000002</v>
      </c>
      <c r="H6" s="51">
        <f>IF(Datos[[#This Row],[Subsaldo]]*$L$4&lt;0,0,Datos[[#This Row],[Subsaldo]]*$L$4)</f>
        <v>3251.1835625000003</v>
      </c>
      <c r="I6" s="8">
        <f>Datos[[#This Row],[Subsaldo]]+Datos[[#This Row],[Interes]]</f>
        <v>653487.89606250008</v>
      </c>
    </row>
    <row r="7" spans="2:12" ht="14">
      <c r="B7" s="9">
        <v>2015</v>
      </c>
      <c r="C7" s="49">
        <v>42095</v>
      </c>
      <c r="D7" s="50">
        <v>42099</v>
      </c>
      <c r="E7" s="8">
        <f>VLOOKUP(Datos[[#This Row],[Año]],Tabla1[],4,FALSE)</f>
        <v>209200</v>
      </c>
      <c r="F7" s="8">
        <v>0</v>
      </c>
      <c r="G7" s="8">
        <f>(Datos[[#This Row],[Valor del capital]]-Datos[[#This Row],[Valor Pagado ]])+I6</f>
        <v>862687.89606250008</v>
      </c>
      <c r="H7" s="51">
        <f>IF(Datos[[#This Row],[Subsaldo]]*$L$4&lt;0,0,Datos[[#This Row],[Subsaldo]]*$L$4)</f>
        <v>4313.4394803125006</v>
      </c>
      <c r="I7" s="8">
        <f>Datos[[#This Row],[Subsaldo]]+Datos[[#This Row],[Interes]]</f>
        <v>867001.33554281259</v>
      </c>
    </row>
    <row r="8" spans="2:12" ht="14">
      <c r="B8" s="9">
        <v>2015</v>
      </c>
      <c r="C8" s="49">
        <v>42125</v>
      </c>
      <c r="D8" s="50">
        <v>42129</v>
      </c>
      <c r="E8" s="8">
        <f>VLOOKUP(Datos[[#This Row],[Año]],Tabla1[],4,FALSE)</f>
        <v>209200</v>
      </c>
      <c r="F8" s="8">
        <v>100000</v>
      </c>
      <c r="G8" s="8">
        <f>(Datos[[#This Row],[Valor del capital]]-Datos[[#This Row],[Valor Pagado ]])+I7</f>
        <v>976201.33554281259</v>
      </c>
      <c r="H8" s="51">
        <f>IF(Datos[[#This Row],[Subsaldo]]*$L$4&lt;0,0,Datos[[#This Row],[Subsaldo]]*$L$4)</f>
        <v>4881.0066777140628</v>
      </c>
      <c r="I8" s="8">
        <f>Datos[[#This Row],[Subsaldo]]+Datos[[#This Row],[Interes]]</f>
        <v>981082.34222052665</v>
      </c>
    </row>
    <row r="9" spans="2:12" ht="14">
      <c r="B9" s="9">
        <v>2015</v>
      </c>
      <c r="C9" s="49">
        <v>42156</v>
      </c>
      <c r="D9" s="50">
        <v>42160</v>
      </c>
      <c r="E9" s="8">
        <f>VLOOKUP(Datos[[#This Row],[Año]],Tabla1[],4,FALSE)</f>
        <v>209200</v>
      </c>
      <c r="F9" s="8">
        <v>0</v>
      </c>
      <c r="G9" s="8">
        <f>(Datos[[#This Row],[Valor del capital]]-Datos[[#This Row],[Valor Pagado ]])+I8</f>
        <v>1190282.3422205267</v>
      </c>
      <c r="H9" s="51">
        <f>IF(Datos[[#This Row],[Subsaldo]]*$L$4&lt;0,0,Datos[[#This Row],[Subsaldo]]*$L$4)</f>
        <v>5951.4117111026335</v>
      </c>
      <c r="I9" s="8">
        <f>Datos[[#This Row],[Subsaldo]]+Datos[[#This Row],[Interes]]</f>
        <v>1196233.7539316292</v>
      </c>
      <c r="L9" s="50"/>
    </row>
    <row r="10" spans="2:12" ht="14">
      <c r="B10" s="9">
        <v>2015</v>
      </c>
      <c r="C10" s="49">
        <v>42186</v>
      </c>
      <c r="D10" s="50">
        <v>42190</v>
      </c>
      <c r="E10" s="8">
        <f>VLOOKUP(Datos[[#This Row],[Año]],Tabla1[],4,FALSE)</f>
        <v>209200</v>
      </c>
      <c r="F10" s="8">
        <v>0</v>
      </c>
      <c r="G10" s="8">
        <f>(Datos[[#This Row],[Valor del capital]]-Datos[[#This Row],[Valor Pagado ]])+I9</f>
        <v>1405433.7539316292</v>
      </c>
      <c r="H10" s="51">
        <f>IF(Datos[[#This Row],[Subsaldo]]*$L$4&lt;0,0,Datos[[#This Row],[Subsaldo]]*$L$4)</f>
        <v>7027.1687696581466</v>
      </c>
      <c r="I10" s="8">
        <f>Datos[[#This Row],[Subsaldo]]+Datos[[#This Row],[Interes]]</f>
        <v>1412460.9227012873</v>
      </c>
    </row>
    <row r="11" spans="2:12" ht="14">
      <c r="B11" s="9">
        <v>2015</v>
      </c>
      <c r="C11" s="49">
        <v>42217</v>
      </c>
      <c r="D11" s="50">
        <v>42221</v>
      </c>
      <c r="E11" s="8">
        <f>VLOOKUP(Datos[[#This Row],[Año]],Tabla1[],4,FALSE)</f>
        <v>209200</v>
      </c>
      <c r="F11" s="8">
        <v>0</v>
      </c>
      <c r="G11" s="8">
        <f>(Datos[[#This Row],[Valor del capital]]-Datos[[#This Row],[Valor Pagado ]])+I10</f>
        <v>1621660.9227012873</v>
      </c>
      <c r="H11" s="51">
        <f>IF(Datos[[#This Row],[Subsaldo]]*$L$4&lt;0,0,Datos[[#This Row],[Subsaldo]]*$L$4)</f>
        <v>8108.3046135064369</v>
      </c>
      <c r="I11" s="8">
        <f>Datos[[#This Row],[Subsaldo]]+Datos[[#This Row],[Interes]]</f>
        <v>1629769.2273147937</v>
      </c>
    </row>
    <row r="12" spans="2:12" ht="14">
      <c r="B12" s="9">
        <v>2015</v>
      </c>
      <c r="C12" s="49">
        <v>42248</v>
      </c>
      <c r="D12" s="50">
        <v>42252</v>
      </c>
      <c r="E12" s="8">
        <f>VLOOKUP(Datos[[#This Row],[Año]],Tabla1[],4,FALSE)</f>
        <v>209200</v>
      </c>
      <c r="F12" s="8">
        <v>94000</v>
      </c>
      <c r="G12" s="8">
        <f>(Datos[[#This Row],[Valor del capital]]-Datos[[#This Row],[Valor Pagado ]])+I11</f>
        <v>1744969.2273147937</v>
      </c>
      <c r="H12" s="51">
        <f>IF(Datos[[#This Row],[Subsaldo]]*$L$4&lt;0,0,Datos[[#This Row],[Subsaldo]]*$L$4)</f>
        <v>8724.8461365739695</v>
      </c>
      <c r="I12" s="8">
        <f>Datos[[#This Row],[Subsaldo]]+Datos[[#This Row],[Interes]]</f>
        <v>1753694.0734513677</v>
      </c>
    </row>
    <row r="13" spans="2:12" ht="14">
      <c r="B13" s="9">
        <v>2015</v>
      </c>
      <c r="C13" s="49">
        <v>42278</v>
      </c>
      <c r="D13" s="50">
        <v>42282</v>
      </c>
      <c r="E13" s="8">
        <f>VLOOKUP(Datos[[#This Row],[Año]],Tabla1[],4,FALSE)</f>
        <v>209200</v>
      </c>
      <c r="F13" s="8">
        <v>94000</v>
      </c>
      <c r="G13" s="8">
        <f>(Datos[[#This Row],[Valor del capital]]-Datos[[#This Row],[Valor Pagado ]])+I12</f>
        <v>1868894.0734513677</v>
      </c>
      <c r="H13" s="51">
        <f>IF(Datos[[#This Row],[Subsaldo]]*$L$4&lt;0,0,Datos[[#This Row],[Subsaldo]]*$L$4)</f>
        <v>9344.4703672568394</v>
      </c>
      <c r="I13" s="8">
        <f>Datos[[#This Row],[Subsaldo]]+Datos[[#This Row],[Interes]]</f>
        <v>1878238.5438186245</v>
      </c>
    </row>
    <row r="14" spans="2:12" ht="14">
      <c r="B14" s="9">
        <v>2015</v>
      </c>
      <c r="C14" s="49">
        <v>42309</v>
      </c>
      <c r="D14" s="50">
        <v>42313</v>
      </c>
      <c r="E14" s="8">
        <f>VLOOKUP(Datos[[#This Row],[Año]],Tabla1[],4,FALSE)</f>
        <v>209200</v>
      </c>
      <c r="F14" s="8">
        <v>0</v>
      </c>
      <c r="G14" s="8">
        <f>(Datos[[#This Row],[Valor del capital]]-Datos[[#This Row],[Valor Pagado ]])+I13</f>
        <v>2087438.5438186245</v>
      </c>
      <c r="H14" s="51">
        <f>IF(Datos[[#This Row],[Subsaldo]]*$L$4&lt;0,0,Datos[[#This Row],[Subsaldo]]*$L$4)</f>
        <v>10437.192719093122</v>
      </c>
      <c r="I14" s="8">
        <f>Datos[[#This Row],[Subsaldo]]+Datos[[#This Row],[Interes]]</f>
        <v>2097875.7365377177</v>
      </c>
    </row>
    <row r="15" spans="2:12" ht="14">
      <c r="B15" s="9">
        <v>2015</v>
      </c>
      <c r="C15" s="49">
        <v>42339</v>
      </c>
      <c r="D15" s="50">
        <v>42343</v>
      </c>
      <c r="E15" s="8">
        <f>VLOOKUP(Datos[[#This Row],[Año]],Tabla1[],4,FALSE)</f>
        <v>209200</v>
      </c>
      <c r="F15" s="8">
        <v>0</v>
      </c>
      <c r="G15" s="8">
        <f>(Datos[[#This Row],[Valor del capital]]-Datos[[#This Row],[Valor Pagado ]])+I14</f>
        <v>2307075.7365377177</v>
      </c>
      <c r="H15" s="51">
        <f>IF(Datos[[#This Row],[Subsaldo]]*$L$4&lt;0,0,Datos[[#This Row],[Subsaldo]]*$L$4)</f>
        <v>11535.37868268859</v>
      </c>
      <c r="I15" s="8">
        <f>Datos[[#This Row],[Subsaldo]]+Datos[[#This Row],[Interes]]</f>
        <v>2318611.1152204066</v>
      </c>
    </row>
    <row r="16" spans="2:12" ht="14">
      <c r="B16" s="9">
        <v>2016</v>
      </c>
      <c r="C16" s="49">
        <v>42370</v>
      </c>
      <c r="D16" s="50">
        <v>42374</v>
      </c>
      <c r="E16" s="8">
        <f>VLOOKUP(Datos[[#This Row],[Año]],Tabla1[],4,FALSE)</f>
        <v>223844</v>
      </c>
      <c r="F16" s="8">
        <v>0</v>
      </c>
      <c r="G16" s="8">
        <f>(Datos[[#This Row],[Valor del capital]]-Datos[[#This Row],[Valor Pagado ]])+I15</f>
        <v>2542455.1152204066</v>
      </c>
      <c r="H16" s="51">
        <f>IF(Datos[[#This Row],[Subsaldo]]*$L$4&lt;0,0,Datos[[#This Row],[Subsaldo]]*$L$4)</f>
        <v>12712.275576102033</v>
      </c>
      <c r="I16" s="8">
        <f>Datos[[#This Row],[Subsaldo]]+Datos[[#This Row],[Interes]]</f>
        <v>2555167.3907965086</v>
      </c>
    </row>
    <row r="17" spans="2:9" ht="14">
      <c r="B17" s="9">
        <v>2016</v>
      </c>
      <c r="C17" s="49">
        <v>42401</v>
      </c>
      <c r="D17" s="50">
        <v>42405</v>
      </c>
      <c r="E17" s="8">
        <f>VLOOKUP(Datos[[#This Row],[Año]],Tabla1[],4,FALSE)</f>
        <v>223844</v>
      </c>
      <c r="F17" s="8">
        <v>0</v>
      </c>
      <c r="G17" s="8">
        <f>(Datos[[#This Row],[Valor del capital]]-Datos[[#This Row],[Valor Pagado ]])+I16</f>
        <v>2779011.3907965086</v>
      </c>
      <c r="H17" s="51">
        <f>IF(Datos[[#This Row],[Subsaldo]]*$L$4&lt;0,0,Datos[[#This Row],[Subsaldo]]*$L$4)</f>
        <v>13895.056953982543</v>
      </c>
      <c r="I17" s="8">
        <f>Datos[[#This Row],[Subsaldo]]+Datos[[#This Row],[Interes]]</f>
        <v>2792906.4477504911</v>
      </c>
    </row>
    <row r="18" spans="2:9" ht="14">
      <c r="B18" s="9">
        <v>2016</v>
      </c>
      <c r="C18" s="49">
        <v>42430</v>
      </c>
      <c r="D18" s="50">
        <v>42434</v>
      </c>
      <c r="E18" s="8">
        <f>VLOOKUP(Datos[[#This Row],[Año]],Tabla1[],4,FALSE)</f>
        <v>223844</v>
      </c>
      <c r="F18" s="8">
        <v>0</v>
      </c>
      <c r="G18" s="8">
        <f>(Datos[[#This Row],[Valor del capital]]-Datos[[#This Row],[Valor Pagado ]])+I17</f>
        <v>3016750.4477504911</v>
      </c>
      <c r="H18" s="51">
        <f>IF(Datos[[#This Row],[Subsaldo]]*$L$4&lt;0,0,Datos[[#This Row],[Subsaldo]]*$L$4)</f>
        <v>15083.752238752455</v>
      </c>
      <c r="I18" s="8">
        <f>Datos[[#This Row],[Subsaldo]]+Datos[[#This Row],[Interes]]</f>
        <v>3031834.1999892434</v>
      </c>
    </row>
    <row r="19" spans="2:9" ht="14">
      <c r="B19" s="9">
        <v>2016</v>
      </c>
      <c r="C19" s="49">
        <v>42461</v>
      </c>
      <c r="D19" s="50">
        <v>42465</v>
      </c>
      <c r="E19" s="8">
        <f>VLOOKUP(Datos[[#This Row],[Año]],Tabla1[],4,FALSE)</f>
        <v>223844</v>
      </c>
      <c r="F19" s="8">
        <v>0</v>
      </c>
      <c r="G19" s="8">
        <f>(Datos[[#This Row],[Valor del capital]]-Datos[[#This Row],[Valor Pagado ]])+I18</f>
        <v>3255678.1999892434</v>
      </c>
      <c r="H19" s="51">
        <f>IF(Datos[[#This Row],[Subsaldo]]*$L$4&lt;0,0,Datos[[#This Row],[Subsaldo]]*$L$4)</f>
        <v>16278.390999946218</v>
      </c>
      <c r="I19" s="8">
        <f>Datos[[#This Row],[Subsaldo]]+Datos[[#This Row],[Interes]]</f>
        <v>3271956.5909891897</v>
      </c>
    </row>
    <row r="20" spans="2:9" ht="14">
      <c r="B20" s="9">
        <v>2016</v>
      </c>
      <c r="C20" s="49">
        <v>42491</v>
      </c>
      <c r="D20" s="50">
        <v>42495</v>
      </c>
      <c r="E20" s="8">
        <f>VLOOKUP(Datos[[#This Row],[Año]],Tabla1[],4,FALSE)</f>
        <v>223844</v>
      </c>
      <c r="F20" s="8">
        <v>0</v>
      </c>
      <c r="G20" s="8">
        <f>(Datos[[#This Row],[Valor del capital]]-Datos[[#This Row],[Valor Pagado ]])+I19</f>
        <v>3495800.5909891897</v>
      </c>
      <c r="H20" s="51">
        <f>IF(Datos[[#This Row],[Subsaldo]]*$L$4&lt;0,0,Datos[[#This Row],[Subsaldo]]*$L$4)</f>
        <v>17479.00295494595</v>
      </c>
      <c r="I20" s="8">
        <f>Datos[[#This Row],[Subsaldo]]+Datos[[#This Row],[Interes]]</f>
        <v>3513279.5939441356</v>
      </c>
    </row>
    <row r="21" spans="2:9" ht="15.75" customHeight="1">
      <c r="B21" s="9">
        <v>2016</v>
      </c>
      <c r="C21" s="49">
        <v>42522</v>
      </c>
      <c r="D21" s="50">
        <v>42526</v>
      </c>
      <c r="E21" s="8">
        <f>VLOOKUP(Datos[[#This Row],[Año]],Tabla1[],4,FALSE)</f>
        <v>223844</v>
      </c>
      <c r="F21" s="8">
        <v>0</v>
      </c>
      <c r="G21" s="8">
        <f>(Datos[[#This Row],[Valor del capital]]-Datos[[#This Row],[Valor Pagado ]])+I20</f>
        <v>3737123.5939441356</v>
      </c>
      <c r="H21" s="51">
        <f>IF(Datos[[#This Row],[Subsaldo]]*$L$4&lt;0,0,Datos[[#This Row],[Subsaldo]]*$L$4)</f>
        <v>18685.617969720679</v>
      </c>
      <c r="I21" s="8">
        <f>Datos[[#This Row],[Subsaldo]]+Datos[[#This Row],[Interes]]</f>
        <v>3755809.2119138562</v>
      </c>
    </row>
    <row r="22" spans="2:9" ht="15.75" customHeight="1">
      <c r="B22" s="9">
        <v>2016</v>
      </c>
      <c r="C22" s="49">
        <v>42552</v>
      </c>
      <c r="D22" s="50">
        <v>42556</v>
      </c>
      <c r="E22" s="8">
        <f>VLOOKUP(Datos[[#This Row],[Año]],Tabla1[],4,FALSE)</f>
        <v>223844</v>
      </c>
      <c r="F22" s="8">
        <v>0</v>
      </c>
      <c r="G22" s="8">
        <f>(Datos[[#This Row],[Valor del capital]]-Datos[[#This Row],[Valor Pagado ]])+I21</f>
        <v>3979653.2119138562</v>
      </c>
      <c r="H22" s="51">
        <f>IF(Datos[[#This Row],[Subsaldo]]*$L$4&lt;0,0,Datos[[#This Row],[Subsaldo]]*$L$4)</f>
        <v>19898.266059569283</v>
      </c>
      <c r="I22" s="8">
        <f>Datos[[#This Row],[Subsaldo]]+Datos[[#This Row],[Interes]]</f>
        <v>3999551.4779734253</v>
      </c>
    </row>
    <row r="23" spans="2:9" ht="15.75" customHeight="1">
      <c r="B23" s="9">
        <v>2016</v>
      </c>
      <c r="C23" s="49">
        <v>42583</v>
      </c>
      <c r="D23" s="50">
        <v>42587</v>
      </c>
      <c r="E23" s="8">
        <f>VLOOKUP(Datos[[#This Row],[Año]],Tabla1[],4,FALSE)</f>
        <v>223844</v>
      </c>
      <c r="F23" s="8">
        <v>0</v>
      </c>
      <c r="G23" s="8">
        <f>(Datos[[#This Row],[Valor del capital]]-Datos[[#This Row],[Valor Pagado ]])+I22</f>
        <v>4223395.4779734258</v>
      </c>
      <c r="H23" s="51">
        <f>IF(Datos[[#This Row],[Subsaldo]]*$L$4&lt;0,0,Datos[[#This Row],[Subsaldo]]*$L$4)</f>
        <v>21116.97738986713</v>
      </c>
      <c r="I23" s="8">
        <f>Datos[[#This Row],[Subsaldo]]+Datos[[#This Row],[Interes]]</f>
        <v>4244512.4553632932</v>
      </c>
    </row>
    <row r="24" spans="2:9" ht="15.75" customHeight="1">
      <c r="B24" s="9">
        <v>2016</v>
      </c>
      <c r="C24" s="49">
        <v>42614</v>
      </c>
      <c r="D24" s="50">
        <v>42618</v>
      </c>
      <c r="E24" s="8">
        <f>VLOOKUP(Datos[[#This Row],[Año]],Tabla1[],4,FALSE)</f>
        <v>223844</v>
      </c>
      <c r="F24" s="8">
        <v>0</v>
      </c>
      <c r="G24" s="8">
        <f>(Datos[[#This Row],[Valor del capital]]-Datos[[#This Row],[Valor Pagado ]])+I23</f>
        <v>4468356.4553632932</v>
      </c>
      <c r="H24" s="51">
        <f>IF(Datos[[#This Row],[Subsaldo]]*$L$4&lt;0,0,Datos[[#This Row],[Subsaldo]]*$L$4)</f>
        <v>22341.782276816466</v>
      </c>
      <c r="I24" s="8">
        <f>Datos[[#This Row],[Subsaldo]]+Datos[[#This Row],[Interes]]</f>
        <v>4490698.2376401098</v>
      </c>
    </row>
    <row r="25" spans="2:9" ht="15.75" customHeight="1">
      <c r="B25" s="9">
        <v>2016</v>
      </c>
      <c r="C25" s="49">
        <v>42644</v>
      </c>
      <c r="D25" s="50">
        <v>42648</v>
      </c>
      <c r="E25" s="8">
        <f>VLOOKUP(Datos[[#This Row],[Año]],Tabla1[],4,FALSE)</f>
        <v>223844</v>
      </c>
      <c r="F25" s="8">
        <v>0</v>
      </c>
      <c r="G25" s="8">
        <f>(Datos[[#This Row],[Valor del capital]]-Datos[[#This Row],[Valor Pagado ]])+I24</f>
        <v>4714542.2376401098</v>
      </c>
      <c r="H25" s="51">
        <f>IF(Datos[[#This Row],[Subsaldo]]*$L$4&lt;0,0,Datos[[#This Row],[Subsaldo]]*$L$4)</f>
        <v>23572.711188200548</v>
      </c>
      <c r="I25" s="8">
        <f>Datos[[#This Row],[Subsaldo]]+Datos[[#This Row],[Interes]]</f>
        <v>4738114.9488283107</v>
      </c>
    </row>
    <row r="26" spans="2:9" ht="15.75" customHeight="1">
      <c r="B26" s="9">
        <v>2016</v>
      </c>
      <c r="C26" s="49">
        <v>42675</v>
      </c>
      <c r="D26" s="50">
        <v>42679</v>
      </c>
      <c r="E26" s="8">
        <f>VLOOKUP(Datos[[#This Row],[Año]],Tabla1[],4,FALSE)</f>
        <v>223844</v>
      </c>
      <c r="F26" s="8">
        <v>0</v>
      </c>
      <c r="G26" s="8">
        <f>(Datos[[#This Row],[Valor del capital]]-Datos[[#This Row],[Valor Pagado ]])+I25</f>
        <v>4961958.9488283107</v>
      </c>
      <c r="H26" s="51">
        <f>IF(Datos[[#This Row],[Subsaldo]]*$L$4&lt;0,0,Datos[[#This Row],[Subsaldo]]*$L$4)</f>
        <v>24809.794744141553</v>
      </c>
      <c r="I26" s="8">
        <f>Datos[[#This Row],[Subsaldo]]+Datos[[#This Row],[Interes]]</f>
        <v>4986768.7435724521</v>
      </c>
    </row>
    <row r="27" spans="2:9" ht="15.75" customHeight="1">
      <c r="B27" s="9">
        <v>2016</v>
      </c>
      <c r="C27" s="49">
        <v>42705</v>
      </c>
      <c r="D27" s="50">
        <v>42709</v>
      </c>
      <c r="E27" s="8">
        <f>VLOOKUP(Datos[[#This Row],[Año]],Tabla1[],4,FALSE)</f>
        <v>223844</v>
      </c>
      <c r="F27" s="8">
        <v>150000</v>
      </c>
      <c r="G27" s="8">
        <f>(Datos[[#This Row],[Valor del capital]]-Datos[[#This Row],[Valor Pagado ]])+I26</f>
        <v>5060612.7435724521</v>
      </c>
      <c r="H27" s="51">
        <f>IF(Datos[[#This Row],[Subsaldo]]*$L$4&lt;0,0,Datos[[#This Row],[Subsaldo]]*$L$4)</f>
        <v>25303.06371786226</v>
      </c>
      <c r="I27" s="8">
        <f>Datos[[#This Row],[Subsaldo]]+Datos[[#This Row],[Interes]]</f>
        <v>5085915.8072903147</v>
      </c>
    </row>
    <row r="28" spans="2:9" ht="15.75" customHeight="1">
      <c r="B28" s="9">
        <v>2017</v>
      </c>
      <c r="C28" s="49">
        <v>42736</v>
      </c>
      <c r="D28" s="50">
        <v>42740</v>
      </c>
      <c r="E28" s="8">
        <f>VLOOKUP(Datos[[#This Row],[Año]],Tabla1[],4,FALSE)</f>
        <v>239513.08000000002</v>
      </c>
      <c r="F28" s="8">
        <v>0</v>
      </c>
      <c r="G28" s="8">
        <f>(Datos[[#This Row],[Valor del capital]]-Datos[[#This Row],[Valor Pagado ]])+I27</f>
        <v>5325428.8872903148</v>
      </c>
      <c r="H28" s="51">
        <f>IF(Datos[[#This Row],[Subsaldo]]*$L$4&lt;0,0,Datos[[#This Row],[Subsaldo]]*$L$4)</f>
        <v>26627.144436451574</v>
      </c>
      <c r="I28" s="8">
        <f>Datos[[#This Row],[Subsaldo]]+Datos[[#This Row],[Interes]]</f>
        <v>5352056.0317267664</v>
      </c>
    </row>
    <row r="29" spans="2:9" ht="15.75" customHeight="1">
      <c r="B29" s="9">
        <v>2017</v>
      </c>
      <c r="C29" s="49">
        <v>42767</v>
      </c>
      <c r="D29" s="50">
        <v>42771</v>
      </c>
      <c r="E29" s="8">
        <f>VLOOKUP(Datos[[#This Row],[Año]],Tabla1[],4,FALSE)</f>
        <v>239513.08000000002</v>
      </c>
      <c r="F29" s="8">
        <v>0</v>
      </c>
      <c r="G29" s="8">
        <f>(Datos[[#This Row],[Valor del capital]]-Datos[[#This Row],[Valor Pagado ]])+I28</f>
        <v>5591569.1117267665</v>
      </c>
      <c r="H29" s="51">
        <f>IF(Datos[[#This Row],[Subsaldo]]*$L$4&lt;0,0,Datos[[#This Row],[Subsaldo]]*$L$4)</f>
        <v>27957.845558633831</v>
      </c>
      <c r="I29" s="8">
        <f>Datos[[#This Row],[Subsaldo]]+Datos[[#This Row],[Interes]]</f>
        <v>5619526.9572854005</v>
      </c>
    </row>
    <row r="30" spans="2:9" ht="15.75" customHeight="1">
      <c r="B30" s="9">
        <v>2017</v>
      </c>
      <c r="C30" s="49">
        <v>42795</v>
      </c>
      <c r="D30" s="50">
        <v>42799</v>
      </c>
      <c r="E30" s="8">
        <f>VLOOKUP(Datos[[#This Row],[Año]],Tabla1[],4,FALSE)</f>
        <v>239513.08000000002</v>
      </c>
      <c r="F30" s="8">
        <v>0</v>
      </c>
      <c r="G30" s="8">
        <f>(Datos[[#This Row],[Valor del capital]]-Datos[[#This Row],[Valor Pagado ]])+I29</f>
        <v>5859040.0372854006</v>
      </c>
      <c r="H30" s="51">
        <f>IF(Datos[[#This Row],[Subsaldo]]*$L$4&lt;0,0,Datos[[#This Row],[Subsaldo]]*$L$4)</f>
        <v>29295.200186427002</v>
      </c>
      <c r="I30" s="8">
        <f>Datos[[#This Row],[Subsaldo]]+Datos[[#This Row],[Interes]]</f>
        <v>5888335.2374718273</v>
      </c>
    </row>
    <row r="31" spans="2:9" ht="15.75" customHeight="1">
      <c r="B31" s="9">
        <v>2017</v>
      </c>
      <c r="C31" s="49">
        <v>42826</v>
      </c>
      <c r="D31" s="50">
        <v>42830</v>
      </c>
      <c r="E31" s="8">
        <f>VLOOKUP(Datos[[#This Row],[Año]],Tabla1[],4,FALSE)</f>
        <v>239513.08000000002</v>
      </c>
      <c r="F31" s="8">
        <v>0</v>
      </c>
      <c r="G31" s="8">
        <f>(Datos[[#This Row],[Valor del capital]]-Datos[[#This Row],[Valor Pagado ]])+I30</f>
        <v>6127848.3174718274</v>
      </c>
      <c r="H31" s="51">
        <f>IF(Datos[[#This Row],[Subsaldo]]*$L$4&lt;0,0,Datos[[#This Row],[Subsaldo]]*$L$4)</f>
        <v>30639.241587359138</v>
      </c>
      <c r="I31" s="8">
        <f>Datos[[#This Row],[Subsaldo]]+Datos[[#This Row],[Interes]]</f>
        <v>6158487.5590591868</v>
      </c>
    </row>
    <row r="32" spans="2:9" ht="15.75" customHeight="1">
      <c r="B32" s="9">
        <v>2017</v>
      </c>
      <c r="C32" s="49">
        <v>42856</v>
      </c>
      <c r="D32" s="50">
        <v>42860</v>
      </c>
      <c r="E32" s="8">
        <f>VLOOKUP(Datos[[#This Row],[Año]],Tabla1[],4,FALSE)</f>
        <v>239513.08000000002</v>
      </c>
      <c r="F32" s="8">
        <v>0</v>
      </c>
      <c r="G32" s="8">
        <f>(Datos[[#This Row],[Valor del capital]]-Datos[[#This Row],[Valor Pagado ]])+I31</f>
        <v>6398000.6390591869</v>
      </c>
      <c r="H32" s="51">
        <f>IF(Datos[[#This Row],[Subsaldo]]*$L$4&lt;0,0,Datos[[#This Row],[Subsaldo]]*$L$4)</f>
        <v>31990.003195295936</v>
      </c>
      <c r="I32" s="8">
        <f>Datos[[#This Row],[Subsaldo]]+Datos[[#This Row],[Interes]]</f>
        <v>6429990.642254483</v>
      </c>
    </row>
    <row r="33" spans="2:9" ht="15.75" customHeight="1">
      <c r="B33" s="9">
        <v>2017</v>
      </c>
      <c r="C33" s="49">
        <v>42887</v>
      </c>
      <c r="D33" s="50">
        <v>42891</v>
      </c>
      <c r="E33" s="8">
        <f>VLOOKUP(Datos[[#This Row],[Año]],Tabla1[],4,FALSE)</f>
        <v>239513.08000000002</v>
      </c>
      <c r="F33" s="8">
        <v>0</v>
      </c>
      <c r="G33" s="8">
        <f>(Datos[[#This Row],[Valor del capital]]-Datos[[#This Row],[Valor Pagado ]])+I32</f>
        <v>6669503.722254483</v>
      </c>
      <c r="H33" s="51">
        <f>IF(Datos[[#This Row],[Subsaldo]]*$L$4&lt;0,0,Datos[[#This Row],[Subsaldo]]*$L$4)</f>
        <v>33347.518611272419</v>
      </c>
      <c r="I33" s="8">
        <f>Datos[[#This Row],[Subsaldo]]+Datos[[#This Row],[Interes]]</f>
        <v>6702851.2408657558</v>
      </c>
    </row>
    <row r="34" spans="2:9" ht="15.75" customHeight="1">
      <c r="B34" s="9">
        <v>2017</v>
      </c>
      <c r="C34" s="49">
        <v>42917</v>
      </c>
      <c r="D34" s="50">
        <v>42921</v>
      </c>
      <c r="E34" s="8">
        <f>VLOOKUP(Datos[[#This Row],[Año]],Tabla1[],4,FALSE)</f>
        <v>239513.08000000002</v>
      </c>
      <c r="F34" s="8">
        <v>0</v>
      </c>
      <c r="G34" s="8">
        <f>(Datos[[#This Row],[Valor del capital]]-Datos[[#This Row],[Valor Pagado ]])+I33</f>
        <v>6942364.3208657559</v>
      </c>
      <c r="H34" s="51">
        <f>IF(Datos[[#This Row],[Subsaldo]]*$L$4&lt;0,0,Datos[[#This Row],[Subsaldo]]*$L$4)</f>
        <v>34711.821604328783</v>
      </c>
      <c r="I34" s="8">
        <f>Datos[[#This Row],[Subsaldo]]+Datos[[#This Row],[Interes]]</f>
        <v>6977076.1424700851</v>
      </c>
    </row>
    <row r="35" spans="2:9" ht="15.75" customHeight="1">
      <c r="B35" s="9">
        <v>2017</v>
      </c>
      <c r="C35" s="49">
        <v>42948</v>
      </c>
      <c r="D35" s="50">
        <v>42952</v>
      </c>
      <c r="E35" s="8">
        <f>VLOOKUP(Datos[[#This Row],[Año]],Tabla1[],4,FALSE)</f>
        <v>239513.08000000002</v>
      </c>
      <c r="F35" s="8">
        <v>0</v>
      </c>
      <c r="G35" s="8">
        <f>(Datos[[#This Row],[Valor del capital]]-Datos[[#This Row],[Valor Pagado ]])+I34</f>
        <v>7216589.2224700851</v>
      </c>
      <c r="H35" s="51">
        <f>IF(Datos[[#This Row],[Subsaldo]]*$L$4&lt;0,0,Datos[[#This Row],[Subsaldo]]*$L$4)</f>
        <v>36082.94611235043</v>
      </c>
      <c r="I35" s="8">
        <f>Datos[[#This Row],[Subsaldo]]+Datos[[#This Row],[Interes]]</f>
        <v>7252672.1685824357</v>
      </c>
    </row>
    <row r="36" spans="2:9" ht="15.75" customHeight="1">
      <c r="B36" s="9">
        <v>2017</v>
      </c>
      <c r="C36" s="49">
        <v>42979</v>
      </c>
      <c r="D36" s="50">
        <v>42983</v>
      </c>
      <c r="E36" s="8">
        <f>VLOOKUP(Datos[[#This Row],[Año]],Tabla1[],4,FALSE)</f>
        <v>239513.08000000002</v>
      </c>
      <c r="F36" s="8">
        <v>200000</v>
      </c>
      <c r="G36" s="8">
        <f>(Datos[[#This Row],[Valor del capital]]-Datos[[#This Row],[Valor Pagado ]])+I35</f>
        <v>7292185.2485824358</v>
      </c>
      <c r="H36" s="51">
        <f>IF(Datos[[#This Row],[Subsaldo]]*$L$4&lt;0,0,Datos[[#This Row],[Subsaldo]]*$L$4)</f>
        <v>36460.926242912181</v>
      </c>
      <c r="I36" s="8">
        <f>Datos[[#This Row],[Subsaldo]]+Datos[[#This Row],[Interes]]</f>
        <v>7328646.174825348</v>
      </c>
    </row>
    <row r="37" spans="2:9" ht="15.75" customHeight="1">
      <c r="B37" s="9">
        <v>2017</v>
      </c>
      <c r="C37" s="49">
        <v>43009</v>
      </c>
      <c r="D37" s="50">
        <v>43013</v>
      </c>
      <c r="E37" s="8">
        <f>VLOOKUP(Datos[[#This Row],[Año]],Tabla1[],4,FALSE)</f>
        <v>239513.08000000002</v>
      </c>
      <c r="F37" s="8">
        <v>0</v>
      </c>
      <c r="G37" s="8">
        <f>(Datos[[#This Row],[Valor del capital]]-Datos[[#This Row],[Valor Pagado ]])+I36</f>
        <v>7568159.254825348</v>
      </c>
      <c r="H37" s="51">
        <f>IF(Datos[[#This Row],[Subsaldo]]*$L$4&lt;0,0,Datos[[#This Row],[Subsaldo]]*$L$4)</f>
        <v>37840.79627412674</v>
      </c>
      <c r="I37" s="8">
        <f>Datos[[#This Row],[Subsaldo]]+Datos[[#This Row],[Interes]]</f>
        <v>7606000.0510994745</v>
      </c>
    </row>
    <row r="38" spans="2:9" ht="15.75" customHeight="1">
      <c r="B38" s="9">
        <v>2017</v>
      </c>
      <c r="C38" s="49">
        <v>43040</v>
      </c>
      <c r="D38" s="50">
        <v>43044</v>
      </c>
      <c r="E38" s="8">
        <f>VLOOKUP(Datos[[#This Row],[Año]],Tabla1[],4,FALSE)</f>
        <v>239513.08000000002</v>
      </c>
      <c r="F38" s="8">
        <v>0</v>
      </c>
      <c r="G38" s="8">
        <f>(Datos[[#This Row],[Valor del capital]]-Datos[[#This Row],[Valor Pagado ]])+I37</f>
        <v>7845513.1310994746</v>
      </c>
      <c r="H38" s="51">
        <f>IF(Datos[[#This Row],[Subsaldo]]*$L$4&lt;0,0,Datos[[#This Row],[Subsaldo]]*$L$4)</f>
        <v>39227.565655497376</v>
      </c>
      <c r="I38" s="8">
        <f>Datos[[#This Row],[Subsaldo]]+Datos[[#This Row],[Interes]]</f>
        <v>7884740.6967549725</v>
      </c>
    </row>
    <row r="39" spans="2:9" ht="15.75" customHeight="1">
      <c r="B39" s="9">
        <v>2017</v>
      </c>
      <c r="C39" s="49">
        <v>43070</v>
      </c>
      <c r="D39" s="50">
        <v>43074</v>
      </c>
      <c r="E39" s="8">
        <f>VLOOKUP(Datos[[#This Row],[Año]],Tabla1[],4,FALSE)</f>
        <v>239513.08000000002</v>
      </c>
      <c r="F39" s="8">
        <v>0</v>
      </c>
      <c r="G39" s="8">
        <f>(Datos[[#This Row],[Valor del capital]]-Datos[[#This Row],[Valor Pagado ]])+I38</f>
        <v>8124253.7767549725</v>
      </c>
      <c r="H39" s="51">
        <f>IF(Datos[[#This Row],[Subsaldo]]*$L$4&lt;0,0,Datos[[#This Row],[Subsaldo]]*$L$4)</f>
        <v>40621.268883774865</v>
      </c>
      <c r="I39" s="8">
        <f>Datos[[#This Row],[Subsaldo]]+Datos[[#This Row],[Interes]]</f>
        <v>8164875.0456387475</v>
      </c>
    </row>
    <row r="40" spans="2:9" ht="15.75" customHeight="1">
      <c r="B40" s="9">
        <v>2018</v>
      </c>
      <c r="C40" s="49">
        <v>43101</v>
      </c>
      <c r="D40" s="50">
        <v>43105</v>
      </c>
      <c r="E40" s="8">
        <f>VLOOKUP(Datos[[#This Row],[Año]],Tabla1[],4,FALSE)</f>
        <v>253644.35172000001</v>
      </c>
      <c r="F40" s="8">
        <v>0</v>
      </c>
      <c r="G40" s="8">
        <f>(Datos[[#This Row],[Valor del capital]]-Datos[[#This Row],[Valor Pagado ]])+I39</f>
        <v>8418519.3973587472</v>
      </c>
      <c r="H40" s="51">
        <f>IF(Datos[[#This Row],[Subsaldo]]*$L$4&lt;0,0,Datos[[#This Row],[Subsaldo]]*$L$4)</f>
        <v>42092.596986793738</v>
      </c>
      <c r="I40" s="8">
        <f>Datos[[#This Row],[Subsaldo]]+Datos[[#This Row],[Interes]]</f>
        <v>8460611.9943455402</v>
      </c>
    </row>
    <row r="41" spans="2:9" ht="15.75" customHeight="1">
      <c r="B41" s="9">
        <v>2018</v>
      </c>
      <c r="C41" s="49">
        <v>43132</v>
      </c>
      <c r="D41" s="50">
        <v>43136</v>
      </c>
      <c r="E41" s="8">
        <f>VLOOKUP(Datos[[#This Row],[Año]],Tabla1[],4,FALSE)</f>
        <v>253644.35172000001</v>
      </c>
      <c r="F41" s="8">
        <v>0</v>
      </c>
      <c r="G41" s="8">
        <f>(Datos[[#This Row],[Valor del capital]]-Datos[[#This Row],[Valor Pagado ]])+I40</f>
        <v>8714256.3460655399</v>
      </c>
      <c r="H41" s="51">
        <f>IF(Datos[[#This Row],[Subsaldo]]*$L$4&lt;0,0,Datos[[#This Row],[Subsaldo]]*$L$4)</f>
        <v>43571.281730327697</v>
      </c>
      <c r="I41" s="8">
        <f>Datos[[#This Row],[Subsaldo]]+Datos[[#This Row],[Interes]]</f>
        <v>8757827.6277958676</v>
      </c>
    </row>
    <row r="42" spans="2:9" ht="15.75" customHeight="1">
      <c r="B42" s="9">
        <v>2018</v>
      </c>
      <c r="C42" s="49">
        <v>43160</v>
      </c>
      <c r="D42" s="50">
        <v>43164</v>
      </c>
      <c r="E42" s="8">
        <f>VLOOKUP(Datos[[#This Row],[Año]],Tabla1[],4,FALSE)</f>
        <v>253644.35172000001</v>
      </c>
      <c r="F42" s="8">
        <v>0</v>
      </c>
      <c r="G42" s="8">
        <f>(Datos[[#This Row],[Valor del capital]]-Datos[[#This Row],[Valor Pagado ]])+I41</f>
        <v>9011471.9795158673</v>
      </c>
      <c r="H42" s="51">
        <f>IF(Datos[[#This Row],[Subsaldo]]*$L$4&lt;0,0,Datos[[#This Row],[Subsaldo]]*$L$4)</f>
        <v>45057.359897579336</v>
      </c>
      <c r="I42" s="8">
        <f>Datos[[#This Row],[Subsaldo]]+Datos[[#This Row],[Interes]]</f>
        <v>9056529.3394134473</v>
      </c>
    </row>
    <row r="43" spans="2:9" ht="15.75" customHeight="1">
      <c r="B43" s="9">
        <v>2018</v>
      </c>
      <c r="C43" s="49">
        <v>43191</v>
      </c>
      <c r="D43" s="50">
        <v>43195</v>
      </c>
      <c r="E43" s="8">
        <f>VLOOKUP(Datos[[#This Row],[Año]],Tabla1[],4,FALSE)</f>
        <v>253644.35172000001</v>
      </c>
      <c r="F43" s="8">
        <v>0</v>
      </c>
      <c r="G43" s="8">
        <f>(Datos[[#This Row],[Valor del capital]]-Datos[[#This Row],[Valor Pagado ]])+I42</f>
        <v>9310173.691133447</v>
      </c>
      <c r="H43" s="51">
        <f>IF(Datos[[#This Row],[Subsaldo]]*$L$4&lt;0,0,Datos[[#This Row],[Subsaldo]]*$L$4)</f>
        <v>46550.868455667238</v>
      </c>
      <c r="I43" s="8">
        <f>Datos[[#This Row],[Subsaldo]]+Datos[[#This Row],[Interes]]</f>
        <v>9356724.559589114</v>
      </c>
    </row>
    <row r="44" spans="2:9" ht="15.75" customHeight="1">
      <c r="B44" s="9">
        <v>2018</v>
      </c>
      <c r="C44" s="49">
        <v>43221</v>
      </c>
      <c r="D44" s="50">
        <v>43225</v>
      </c>
      <c r="E44" s="8">
        <f>VLOOKUP(Datos[[#This Row],[Año]],Tabla1[],4,FALSE)</f>
        <v>253644.35172000001</v>
      </c>
      <c r="F44" s="8">
        <v>0</v>
      </c>
      <c r="G44" s="8">
        <f>(Datos[[#This Row],[Valor del capital]]-Datos[[#This Row],[Valor Pagado ]])+I43</f>
        <v>9610368.9113091137</v>
      </c>
      <c r="H44" s="51">
        <f>IF(Datos[[#This Row],[Subsaldo]]*$L$4&lt;0,0,Datos[[#This Row],[Subsaldo]]*$L$4)</f>
        <v>48051.84455654557</v>
      </c>
      <c r="I44" s="8">
        <f>Datos[[#This Row],[Subsaldo]]+Datos[[#This Row],[Interes]]</f>
        <v>9658420.7558656596</v>
      </c>
    </row>
    <row r="45" spans="2:9" ht="15.75" customHeight="1">
      <c r="B45" s="9">
        <v>2018</v>
      </c>
      <c r="C45" s="49">
        <v>43252</v>
      </c>
      <c r="D45" s="50">
        <v>43256</v>
      </c>
      <c r="E45" s="8">
        <f>VLOOKUP(Datos[[#This Row],[Año]],Tabla1[],4,FALSE)</f>
        <v>253644.35172000001</v>
      </c>
      <c r="F45" s="8">
        <v>0</v>
      </c>
      <c r="G45" s="8">
        <f>(Datos[[#This Row],[Valor del capital]]-Datos[[#This Row],[Valor Pagado ]])+I44</f>
        <v>9912065.1075856593</v>
      </c>
      <c r="H45" s="51">
        <f>IF(Datos[[#This Row],[Subsaldo]]*$L$4&lt;0,0,Datos[[#This Row],[Subsaldo]]*$L$4)</f>
        <v>49560.3255379283</v>
      </c>
      <c r="I45" s="8">
        <f>Datos[[#This Row],[Subsaldo]]+Datos[[#This Row],[Interes]]</f>
        <v>9961625.4331235867</v>
      </c>
    </row>
    <row r="46" spans="2:9" ht="15.75" customHeight="1">
      <c r="B46" s="9">
        <v>2018</v>
      </c>
      <c r="C46" s="49">
        <v>43282</v>
      </c>
      <c r="D46" s="50">
        <v>43286</v>
      </c>
      <c r="E46" s="8">
        <f>VLOOKUP(Datos[[#This Row],[Año]],Tabla1[],4,FALSE)</f>
        <v>253644.35172000001</v>
      </c>
      <c r="F46" s="8">
        <v>0</v>
      </c>
      <c r="G46" s="8">
        <f>(Datos[[#This Row],[Valor del capital]]-Datos[[#This Row],[Valor Pagado ]])+I45</f>
        <v>10215269.784843586</v>
      </c>
      <c r="H46" s="51">
        <f>IF(Datos[[#This Row],[Subsaldo]]*$L$4&lt;0,0,Datos[[#This Row],[Subsaldo]]*$L$4)</f>
        <v>51076.348924217935</v>
      </c>
      <c r="I46" s="8">
        <f>Datos[[#This Row],[Subsaldo]]+Datos[[#This Row],[Interes]]</f>
        <v>10266346.133767804</v>
      </c>
    </row>
    <row r="47" spans="2:9" ht="15.75" customHeight="1">
      <c r="B47" s="9">
        <v>2018</v>
      </c>
      <c r="C47" s="49">
        <v>43313</v>
      </c>
      <c r="D47" s="50">
        <v>43317</v>
      </c>
      <c r="E47" s="8">
        <f>VLOOKUP(Datos[[#This Row],[Año]],Tabla1[],4,FALSE)</f>
        <v>253644.35172000001</v>
      </c>
      <c r="F47" s="8">
        <v>0</v>
      </c>
      <c r="G47" s="8">
        <f>(Datos[[#This Row],[Valor del capital]]-Datos[[#This Row],[Valor Pagado ]])+I46</f>
        <v>10519990.485487804</v>
      </c>
      <c r="H47" s="51">
        <f>IF(Datos[[#This Row],[Subsaldo]]*$L$4&lt;0,0,Datos[[#This Row],[Subsaldo]]*$L$4)</f>
        <v>52599.952427439021</v>
      </c>
      <c r="I47" s="8">
        <f>Datos[[#This Row],[Subsaldo]]+Datos[[#This Row],[Interes]]</f>
        <v>10572590.437915243</v>
      </c>
    </row>
    <row r="48" spans="2:9" ht="15.75" customHeight="1">
      <c r="B48" s="9">
        <v>2018</v>
      </c>
      <c r="C48" s="49">
        <v>43344</v>
      </c>
      <c r="D48" s="50">
        <v>43348</v>
      </c>
      <c r="E48" s="8">
        <f>VLOOKUP(Datos[[#This Row],[Año]],Tabla1[],4,FALSE)</f>
        <v>253644.35172000001</v>
      </c>
      <c r="F48" s="8">
        <v>0</v>
      </c>
      <c r="G48" s="8">
        <f>(Datos[[#This Row],[Valor del capital]]-Datos[[#This Row],[Valor Pagado ]])+I47</f>
        <v>10826234.789635243</v>
      </c>
      <c r="H48" s="51">
        <f>IF(Datos[[#This Row],[Subsaldo]]*$L$4&lt;0,0,Datos[[#This Row],[Subsaldo]]*$L$4)</f>
        <v>54131.173948176212</v>
      </c>
      <c r="I48" s="8">
        <f>Datos[[#This Row],[Subsaldo]]+Datos[[#This Row],[Interes]]</f>
        <v>10880365.963583419</v>
      </c>
    </row>
    <row r="49" spans="2:9" ht="15.75" customHeight="1">
      <c r="B49" s="9">
        <v>2018</v>
      </c>
      <c r="C49" s="49">
        <v>43374</v>
      </c>
      <c r="D49" s="50">
        <v>43378</v>
      </c>
      <c r="E49" s="8">
        <f>VLOOKUP(Datos[[#This Row],[Año]],Tabla1[],4,FALSE)</f>
        <v>253644.35172000001</v>
      </c>
      <c r="F49" s="8">
        <v>0</v>
      </c>
      <c r="G49" s="8">
        <f>(Datos[[#This Row],[Valor del capital]]-Datos[[#This Row],[Valor Pagado ]])+I48</f>
        <v>11134010.315303419</v>
      </c>
      <c r="H49" s="51">
        <f>IF(Datos[[#This Row],[Subsaldo]]*$L$4&lt;0,0,Datos[[#This Row],[Subsaldo]]*$L$4)</f>
        <v>55670.051576517093</v>
      </c>
      <c r="I49" s="8">
        <f>Datos[[#This Row],[Subsaldo]]+Datos[[#This Row],[Interes]]</f>
        <v>11189680.366879936</v>
      </c>
    </row>
    <row r="50" spans="2:9" ht="15.75" customHeight="1">
      <c r="B50" s="9">
        <v>2018</v>
      </c>
      <c r="C50" s="49">
        <v>43405</v>
      </c>
      <c r="D50" s="50">
        <v>43409</v>
      </c>
      <c r="E50" s="8">
        <f>VLOOKUP(Datos[[#This Row],[Año]],Tabla1[],4,FALSE)</f>
        <v>253644.35172000001</v>
      </c>
      <c r="F50" s="8">
        <v>0</v>
      </c>
      <c r="G50" s="8">
        <f>(Datos[[#This Row],[Valor del capital]]-Datos[[#This Row],[Valor Pagado ]])+I49</f>
        <v>11443324.718599936</v>
      </c>
      <c r="H50" s="51">
        <f>IF(Datos[[#This Row],[Subsaldo]]*$L$4&lt;0,0,Datos[[#This Row],[Subsaldo]]*$L$4)</f>
        <v>57216.623592999684</v>
      </c>
      <c r="I50" s="8">
        <f>Datos[[#This Row],[Subsaldo]]+Datos[[#This Row],[Interes]]</f>
        <v>11500541.342192935</v>
      </c>
    </row>
    <row r="51" spans="2:9" ht="15.75" customHeight="1">
      <c r="B51" s="9">
        <v>2018</v>
      </c>
      <c r="C51" s="49">
        <v>43435</v>
      </c>
      <c r="D51" s="50">
        <v>43439</v>
      </c>
      <c r="E51" s="8">
        <f>VLOOKUP(Datos[[#This Row],[Año]],Tabla1[],4,FALSE)</f>
        <v>253644.35172000001</v>
      </c>
      <c r="F51" s="8">
        <v>0</v>
      </c>
      <c r="G51" s="8">
        <f>(Datos[[#This Row],[Valor del capital]]-Datos[[#This Row],[Valor Pagado ]])+I50</f>
        <v>11754185.693912935</v>
      </c>
      <c r="H51" s="51">
        <f>IF(Datos[[#This Row],[Subsaldo]]*$L$4&lt;0,0,Datos[[#This Row],[Subsaldo]]*$L$4)</f>
        <v>58770.928469564671</v>
      </c>
      <c r="I51" s="8">
        <f>Datos[[#This Row],[Subsaldo]]+Datos[[#This Row],[Interes]]</f>
        <v>11812956.622382499</v>
      </c>
    </row>
    <row r="52" spans="2:9" ht="15.75" customHeight="1">
      <c r="B52" s="9">
        <v>2019</v>
      </c>
      <c r="C52" s="49">
        <v>43466</v>
      </c>
      <c r="D52" s="50">
        <v>43470</v>
      </c>
      <c r="E52" s="8">
        <f>VLOOKUP(Datos[[#This Row],[Año]],Tabla1[],4,FALSE)</f>
        <v>268863.01282320003</v>
      </c>
      <c r="F52" s="8">
        <v>0</v>
      </c>
      <c r="G52" s="8">
        <f>(Datos[[#This Row],[Valor del capital]]-Datos[[#This Row],[Valor Pagado ]])+I51</f>
        <v>12081819.635205699</v>
      </c>
      <c r="H52" s="51">
        <f>IF(Datos[[#This Row],[Subsaldo]]*$L$4&lt;0,0,Datos[[#This Row],[Subsaldo]]*$L$4)</f>
        <v>60409.098176028499</v>
      </c>
      <c r="I52" s="8">
        <f>Datos[[#This Row],[Subsaldo]]+Datos[[#This Row],[Interes]]</f>
        <v>12142228.733381728</v>
      </c>
    </row>
    <row r="53" spans="2:9" ht="15.75" customHeight="1">
      <c r="B53" s="9">
        <v>2019</v>
      </c>
      <c r="C53" s="49">
        <v>43497</v>
      </c>
      <c r="D53" s="50">
        <v>43501</v>
      </c>
      <c r="E53" s="8">
        <f>VLOOKUP(Datos[[#This Row],[Año]],Tabla1[],4,FALSE)</f>
        <v>268863.01282320003</v>
      </c>
      <c r="F53" s="8">
        <v>0</v>
      </c>
      <c r="G53" s="8">
        <f>(Datos[[#This Row],[Valor del capital]]-Datos[[#This Row],[Valor Pagado ]])+I52</f>
        <v>12411091.746204928</v>
      </c>
      <c r="H53" s="51">
        <f>IF(Datos[[#This Row],[Subsaldo]]*$L$4&lt;0,0,Datos[[#This Row],[Subsaldo]]*$L$4)</f>
        <v>62055.458731024642</v>
      </c>
      <c r="I53" s="8">
        <f>Datos[[#This Row],[Subsaldo]]+Datos[[#This Row],[Interes]]</f>
        <v>12473147.204935953</v>
      </c>
    </row>
    <row r="54" spans="2:9" ht="15.75" customHeight="1">
      <c r="B54" s="9">
        <v>2019</v>
      </c>
      <c r="C54" s="49">
        <v>43525</v>
      </c>
      <c r="D54" s="50">
        <v>43529</v>
      </c>
      <c r="E54" s="8">
        <f>VLOOKUP(Datos[[#This Row],[Año]],Tabla1[],4,FALSE)</f>
        <v>268863.01282320003</v>
      </c>
      <c r="F54" s="8">
        <v>0</v>
      </c>
      <c r="G54" s="8">
        <f>(Datos[[#This Row],[Valor del capital]]-Datos[[#This Row],[Valor Pagado ]])+I53</f>
        <v>12742010.217759153</v>
      </c>
      <c r="H54" s="51">
        <f>IF(Datos[[#This Row],[Subsaldo]]*$L$4&lt;0,0,Datos[[#This Row],[Subsaldo]]*$L$4)</f>
        <v>63710.051088795764</v>
      </c>
      <c r="I54" s="8">
        <f>Datos[[#This Row],[Subsaldo]]+Datos[[#This Row],[Interes]]</f>
        <v>12805720.268847948</v>
      </c>
    </row>
    <row r="55" spans="2:9" ht="15.75" customHeight="1">
      <c r="B55" s="9">
        <v>2019</v>
      </c>
      <c r="C55" s="49">
        <v>43556</v>
      </c>
      <c r="D55" s="50">
        <v>43560</v>
      </c>
      <c r="E55" s="8">
        <f>VLOOKUP(Datos[[#This Row],[Año]],Tabla1[],4,FALSE)</f>
        <v>268863.01282320003</v>
      </c>
      <c r="F55" s="8">
        <v>0</v>
      </c>
      <c r="G55" s="8">
        <f>(Datos[[#This Row],[Valor del capital]]-Datos[[#This Row],[Valor Pagado ]])+I54</f>
        <v>13074583.281671148</v>
      </c>
      <c r="H55" s="51">
        <f>IF(Datos[[#This Row],[Subsaldo]]*$L$4&lt;0,0,Datos[[#This Row],[Subsaldo]]*$L$4)</f>
        <v>65372.916408355741</v>
      </c>
      <c r="I55" s="8">
        <f>Datos[[#This Row],[Subsaldo]]+Datos[[#This Row],[Interes]]</f>
        <v>13139956.198079504</v>
      </c>
    </row>
    <row r="56" spans="2:9" ht="15.75" customHeight="1">
      <c r="B56" s="9">
        <v>2019</v>
      </c>
      <c r="C56" s="49">
        <v>43586</v>
      </c>
      <c r="D56" s="50">
        <v>43590</v>
      </c>
      <c r="E56" s="8">
        <f>VLOOKUP(Datos[[#This Row],[Año]],Tabla1[],4,FALSE)</f>
        <v>268863.01282320003</v>
      </c>
      <c r="F56" s="8">
        <v>0</v>
      </c>
      <c r="G56" s="8">
        <f>(Datos[[#This Row],[Valor del capital]]-Datos[[#This Row],[Valor Pagado ]])+I55</f>
        <v>13408819.210902704</v>
      </c>
      <c r="H56" s="51">
        <f>IF(Datos[[#This Row],[Subsaldo]]*$L$4&lt;0,0,Datos[[#This Row],[Subsaldo]]*$L$4)</f>
        <v>67044.096054513517</v>
      </c>
      <c r="I56" s="8">
        <f>Datos[[#This Row],[Subsaldo]]+Datos[[#This Row],[Interes]]</f>
        <v>13475863.306957217</v>
      </c>
    </row>
    <row r="57" spans="2:9" ht="15.75" customHeight="1">
      <c r="B57" s="9">
        <v>2019</v>
      </c>
      <c r="C57" s="49">
        <v>43617</v>
      </c>
      <c r="D57" s="50">
        <v>43621</v>
      </c>
      <c r="E57" s="8">
        <f>VLOOKUP(Datos[[#This Row],[Año]],Tabla1[],4,FALSE)</f>
        <v>268863.01282320003</v>
      </c>
      <c r="F57" s="8">
        <v>0</v>
      </c>
      <c r="G57" s="8">
        <f>(Datos[[#This Row],[Valor del capital]]-Datos[[#This Row],[Valor Pagado ]])+I56</f>
        <v>13744726.319780417</v>
      </c>
      <c r="H57" s="51">
        <f>IF(Datos[[#This Row],[Subsaldo]]*$L$4&lt;0,0,Datos[[#This Row],[Subsaldo]]*$L$4)</f>
        <v>68723.63159890208</v>
      </c>
      <c r="I57" s="8">
        <f>Datos[[#This Row],[Subsaldo]]+Datos[[#This Row],[Interes]]</f>
        <v>13813449.95137932</v>
      </c>
    </row>
    <row r="58" spans="2:9" ht="15.75" customHeight="1">
      <c r="B58" s="9">
        <v>2019</v>
      </c>
      <c r="C58" s="49">
        <v>43647</v>
      </c>
      <c r="D58" s="50">
        <v>43651</v>
      </c>
      <c r="E58" s="8">
        <f>VLOOKUP(Datos[[#This Row],[Año]],Tabla1[],4,FALSE)</f>
        <v>268863.01282320003</v>
      </c>
      <c r="F58" s="8">
        <v>0</v>
      </c>
      <c r="G58" s="8">
        <f>(Datos[[#This Row],[Valor del capital]]-Datos[[#This Row],[Valor Pagado ]])+I57</f>
        <v>14082312.96420252</v>
      </c>
      <c r="H58" s="51">
        <f>IF(Datos[[#This Row],[Subsaldo]]*$L$4&lt;0,0,Datos[[#This Row],[Subsaldo]]*$L$4)</f>
        <v>70411.564821012595</v>
      </c>
      <c r="I58" s="8">
        <f>Datos[[#This Row],[Subsaldo]]+Datos[[#This Row],[Interes]]</f>
        <v>14152724.529023532</v>
      </c>
    </row>
    <row r="59" spans="2:9" ht="15.75" customHeight="1">
      <c r="B59" s="9">
        <v>2019</v>
      </c>
      <c r="C59" s="49">
        <v>43678</v>
      </c>
      <c r="D59" s="50">
        <v>43682</v>
      </c>
      <c r="E59" s="8">
        <f>VLOOKUP(Datos[[#This Row],[Año]],Tabla1[],4,FALSE)</f>
        <v>268863.01282320003</v>
      </c>
      <c r="F59" s="8">
        <v>0</v>
      </c>
      <c r="G59" s="8">
        <f>(Datos[[#This Row],[Valor del capital]]-Datos[[#This Row],[Valor Pagado ]])+I58</f>
        <v>14421587.541846732</v>
      </c>
      <c r="H59" s="51">
        <f>IF(Datos[[#This Row],[Subsaldo]]*$L$4&lt;0,0,Datos[[#This Row],[Subsaldo]]*$L$4)</f>
        <v>72107.937709233665</v>
      </c>
      <c r="I59" s="8">
        <f>Datos[[#This Row],[Subsaldo]]+Datos[[#This Row],[Interes]]</f>
        <v>14493695.479555964</v>
      </c>
    </row>
    <row r="60" spans="2:9" ht="15.75" customHeight="1">
      <c r="B60" s="9">
        <v>2019</v>
      </c>
      <c r="C60" s="49">
        <v>43709</v>
      </c>
      <c r="D60" s="50">
        <v>43713</v>
      </c>
      <c r="E60" s="8">
        <f>VLOOKUP(Datos[[#This Row],[Año]],Tabla1[],4,FALSE)</f>
        <v>268863.01282320003</v>
      </c>
      <c r="F60" s="8">
        <v>0</v>
      </c>
      <c r="G60" s="8">
        <f>(Datos[[#This Row],[Valor del capital]]-Datos[[#This Row],[Valor Pagado ]])+I59</f>
        <v>14762558.492379164</v>
      </c>
      <c r="H60" s="51">
        <f>IF(Datos[[#This Row],[Subsaldo]]*$L$4&lt;0,0,Datos[[#This Row],[Subsaldo]]*$L$4)</f>
        <v>73812.79246189582</v>
      </c>
      <c r="I60" s="8">
        <f>Datos[[#This Row],[Subsaldo]]+Datos[[#This Row],[Interes]]</f>
        <v>14836371.284841061</v>
      </c>
    </row>
    <row r="61" spans="2:9" ht="15.75" customHeight="1">
      <c r="B61" s="9">
        <v>2019</v>
      </c>
      <c r="C61" s="49">
        <v>43739</v>
      </c>
      <c r="D61" s="50">
        <v>43743</v>
      </c>
      <c r="E61" s="8">
        <f>VLOOKUP(Datos[[#This Row],[Año]],Tabla1[],4,FALSE)</f>
        <v>268863.01282320003</v>
      </c>
      <c r="F61" s="8">
        <v>0</v>
      </c>
      <c r="G61" s="8">
        <f>(Datos[[#This Row],[Valor del capital]]-Datos[[#This Row],[Valor Pagado ]])+I60</f>
        <v>15105234.29766426</v>
      </c>
      <c r="H61" s="51">
        <f>IF(Datos[[#This Row],[Subsaldo]]*$L$4&lt;0,0,Datos[[#This Row],[Subsaldo]]*$L$4)</f>
        <v>75526.171488321299</v>
      </c>
      <c r="I61" s="8">
        <f>Datos[[#This Row],[Subsaldo]]+Datos[[#This Row],[Interes]]</f>
        <v>15180760.469152581</v>
      </c>
    </row>
    <row r="62" spans="2:9" ht="15.75" customHeight="1">
      <c r="B62" s="9">
        <v>2019</v>
      </c>
      <c r="C62" s="49">
        <v>43770</v>
      </c>
      <c r="D62" s="50">
        <v>43774</v>
      </c>
      <c r="E62" s="8">
        <f>VLOOKUP(Datos[[#This Row],[Año]],Tabla1[],4,FALSE)</f>
        <v>268863.01282320003</v>
      </c>
      <c r="F62" s="8">
        <v>0</v>
      </c>
      <c r="G62" s="8">
        <f>(Datos[[#This Row],[Valor del capital]]-Datos[[#This Row],[Valor Pagado ]])+I61</f>
        <v>15449623.481975781</v>
      </c>
      <c r="H62" s="51">
        <f>IF(Datos[[#This Row],[Subsaldo]]*$L$4&lt;0,0,Datos[[#This Row],[Subsaldo]]*$L$4)</f>
        <v>77248.117409878905</v>
      </c>
      <c r="I62" s="8">
        <f>Datos[[#This Row],[Subsaldo]]+Datos[[#This Row],[Interes]]</f>
        <v>15526871.59938566</v>
      </c>
    </row>
    <row r="63" spans="2:9" ht="15.75" customHeight="1">
      <c r="B63" s="9">
        <v>2019</v>
      </c>
      <c r="C63" s="49">
        <v>43800</v>
      </c>
      <c r="D63" s="50">
        <v>43804</v>
      </c>
      <c r="E63" s="8">
        <f>VLOOKUP(Datos[[#This Row],[Año]],Tabla1[],4,FALSE)</f>
        <v>268863.01282320003</v>
      </c>
      <c r="F63" s="8">
        <v>0</v>
      </c>
      <c r="G63" s="8">
        <f>(Datos[[#This Row],[Valor del capital]]-Datos[[#This Row],[Valor Pagado ]])+I62</f>
        <v>15795734.61220886</v>
      </c>
      <c r="H63" s="51">
        <f>IF(Datos[[#This Row],[Subsaldo]]*$L$4&lt;0,0,Datos[[#This Row],[Subsaldo]]*$L$4)</f>
        <v>78978.673061044305</v>
      </c>
      <c r="I63" s="8">
        <f>Datos[[#This Row],[Subsaldo]]+Datos[[#This Row],[Interes]]</f>
        <v>15874713.285269905</v>
      </c>
    </row>
    <row r="64" spans="2:9" ht="15.75" customHeight="1">
      <c r="B64" s="9">
        <v>2020</v>
      </c>
      <c r="C64" s="49">
        <v>43831</v>
      </c>
      <c r="D64" s="50">
        <v>43835</v>
      </c>
      <c r="E64" s="8">
        <f>VLOOKUP(Datos[[#This Row],[Año]],Tabla1[],4,FALSE)</f>
        <v>284994.793592592</v>
      </c>
      <c r="F64" s="8">
        <v>0</v>
      </c>
      <c r="G64" s="8">
        <f>(Datos[[#This Row],[Valor del capital]]-Datos[[#This Row],[Valor Pagado ]])+I63</f>
        <v>16159708.078862498</v>
      </c>
      <c r="H64" s="51">
        <f>IF(Datos[[#This Row],[Subsaldo]]*$L$4&lt;0,0,Datos[[#This Row],[Subsaldo]]*$L$4)</f>
        <v>80798.540394312484</v>
      </c>
      <c r="I64" s="8">
        <f>Datos[[#This Row],[Subsaldo]]+Datos[[#This Row],[Interes]]</f>
        <v>16240506.619256809</v>
      </c>
    </row>
    <row r="65" spans="2:9" ht="15.75" customHeight="1">
      <c r="B65" s="9">
        <v>2020</v>
      </c>
      <c r="C65" s="49">
        <v>43862</v>
      </c>
      <c r="D65" s="50">
        <v>43866</v>
      </c>
      <c r="E65" s="8">
        <f>VLOOKUP(Datos[[#This Row],[Año]],Tabla1[],4,FALSE)</f>
        <v>284994.793592592</v>
      </c>
      <c r="F65" s="8">
        <v>0</v>
      </c>
      <c r="G65" s="8">
        <f>(Datos[[#This Row],[Valor del capital]]-Datos[[#This Row],[Valor Pagado ]])+I64</f>
        <v>16525501.412849402</v>
      </c>
      <c r="H65" s="51">
        <f>IF(Datos[[#This Row],[Subsaldo]]*$L$4&lt;0,0,Datos[[#This Row],[Subsaldo]]*$L$4)</f>
        <v>82627.507064247009</v>
      </c>
      <c r="I65" s="8">
        <f>Datos[[#This Row],[Subsaldo]]+Datos[[#This Row],[Interes]]</f>
        <v>16608128.91991365</v>
      </c>
    </row>
    <row r="66" spans="2:9" ht="15.75" customHeight="1">
      <c r="B66" s="9">
        <v>2020</v>
      </c>
      <c r="C66" s="49">
        <v>43891</v>
      </c>
      <c r="D66" s="50">
        <v>43895</v>
      </c>
      <c r="E66" s="8">
        <f>VLOOKUP(Datos[[#This Row],[Año]],Tabla1[],4,FALSE)</f>
        <v>284994.793592592</v>
      </c>
      <c r="F66" s="8">
        <v>0</v>
      </c>
      <c r="G66" s="8">
        <f>(Datos[[#This Row],[Valor del capital]]-Datos[[#This Row],[Valor Pagado ]])+I65</f>
        <v>16893123.71350624</v>
      </c>
      <c r="H66" s="51">
        <f>IF(Datos[[#This Row],[Subsaldo]]*$L$4&lt;0,0,Datos[[#This Row],[Subsaldo]]*$L$4)</f>
        <v>84465.618567531201</v>
      </c>
      <c r="I66" s="8">
        <f>Datos[[#This Row],[Subsaldo]]+Datos[[#This Row],[Interes]]</f>
        <v>16977589.33207377</v>
      </c>
    </row>
    <row r="67" spans="2:9" ht="15.75" customHeight="1">
      <c r="B67" s="9">
        <v>2020</v>
      </c>
      <c r="C67" s="49">
        <v>43922</v>
      </c>
      <c r="D67" s="50">
        <v>43926</v>
      </c>
      <c r="E67" s="8">
        <f>VLOOKUP(Datos[[#This Row],[Año]],Tabla1[],4,FALSE)</f>
        <v>284994.793592592</v>
      </c>
      <c r="F67" s="8">
        <v>0</v>
      </c>
      <c r="G67" s="8">
        <f>(Datos[[#This Row],[Valor del capital]]-Datos[[#This Row],[Valor Pagado ]])+I66</f>
        <v>17262584.125666361</v>
      </c>
      <c r="H67" s="51">
        <f>IF(Datos[[#This Row],[Subsaldo]]*$L$4&lt;0,0,Datos[[#This Row],[Subsaldo]]*$L$4)</f>
        <v>86312.920628331805</v>
      </c>
      <c r="I67" s="8">
        <f>Datos[[#This Row],[Subsaldo]]+Datos[[#This Row],[Interes]]</f>
        <v>17348897.046294693</v>
      </c>
    </row>
    <row r="68" spans="2:9" ht="15.75" customHeight="1">
      <c r="B68" s="9">
        <v>2020</v>
      </c>
      <c r="C68" s="49">
        <v>43952</v>
      </c>
      <c r="D68" s="50">
        <v>43956</v>
      </c>
      <c r="E68" s="8">
        <f>VLOOKUP(Datos[[#This Row],[Año]],Tabla1[],4,FALSE)</f>
        <v>284994.793592592</v>
      </c>
      <c r="F68" s="8">
        <v>0</v>
      </c>
      <c r="G68" s="8">
        <f>(Datos[[#This Row],[Valor del capital]]-Datos[[#This Row],[Valor Pagado ]])+I67</f>
        <v>17633891.839887284</v>
      </c>
      <c r="H68" s="51">
        <f>IF(Datos[[#This Row],[Subsaldo]]*$L$4&lt;0,0,Datos[[#This Row],[Subsaldo]]*$L$4)</f>
        <v>88169.459199436416</v>
      </c>
      <c r="I68" s="8">
        <f>Datos[[#This Row],[Subsaldo]]+Datos[[#This Row],[Interes]]</f>
        <v>17722061.29908672</v>
      </c>
    </row>
    <row r="69" spans="2:9" ht="15.75" customHeight="1">
      <c r="B69" s="9">
        <v>2020</v>
      </c>
      <c r="C69" s="49">
        <v>43983</v>
      </c>
      <c r="D69" s="50">
        <v>43987</v>
      </c>
      <c r="E69" s="8">
        <f>VLOOKUP(Datos[[#This Row],[Año]],Tabla1[],4,FALSE)</f>
        <v>284994.793592592</v>
      </c>
      <c r="F69" s="8">
        <v>0</v>
      </c>
      <c r="G69" s="8">
        <f>(Datos[[#This Row],[Valor del capital]]-Datos[[#This Row],[Valor Pagado ]])+I68</f>
        <v>18007056.092679311</v>
      </c>
      <c r="H69" s="51">
        <f>IF(Datos[[#This Row],[Subsaldo]]*$L$4&lt;0,0,Datos[[#This Row],[Subsaldo]]*$L$4)</f>
        <v>90035.280463396557</v>
      </c>
      <c r="I69" s="8">
        <f>Datos[[#This Row],[Subsaldo]]+Datos[[#This Row],[Interes]]</f>
        <v>18097091.373142708</v>
      </c>
    </row>
    <row r="70" spans="2:9" ht="15.75" customHeight="1">
      <c r="B70" s="9">
        <v>2020</v>
      </c>
      <c r="C70" s="49">
        <v>44013</v>
      </c>
      <c r="D70" s="50">
        <v>44017</v>
      </c>
      <c r="E70" s="8">
        <f>VLOOKUP(Datos[[#This Row],[Año]],Tabla1[],4,FALSE)</f>
        <v>284994.793592592</v>
      </c>
      <c r="F70" s="8">
        <v>0</v>
      </c>
      <c r="G70" s="8">
        <f>(Datos[[#This Row],[Valor del capital]]-Datos[[#This Row],[Valor Pagado ]])+I69</f>
        <v>18382086.166735299</v>
      </c>
      <c r="H70" s="51">
        <f>IF(Datos[[#This Row],[Subsaldo]]*$L$4&lt;0,0,Datos[[#This Row],[Subsaldo]]*$L$4)</f>
        <v>91910.430833676495</v>
      </c>
      <c r="I70" s="8">
        <f>Datos[[#This Row],[Subsaldo]]+Datos[[#This Row],[Interes]]</f>
        <v>18473996.597568974</v>
      </c>
    </row>
    <row r="71" spans="2:9" ht="15.75" customHeight="1">
      <c r="B71" s="9">
        <v>2020</v>
      </c>
      <c r="C71" s="49">
        <v>44044</v>
      </c>
      <c r="D71" s="50">
        <v>44048</v>
      </c>
      <c r="E71" s="8">
        <f>VLOOKUP(Datos[[#This Row],[Año]],Tabla1[],4,FALSE)</f>
        <v>284994.793592592</v>
      </c>
      <c r="F71" s="8">
        <v>0</v>
      </c>
      <c r="G71" s="8">
        <f>(Datos[[#This Row],[Valor del capital]]-Datos[[#This Row],[Valor Pagado ]])+I70</f>
        <v>18758991.391161565</v>
      </c>
      <c r="H71" s="51">
        <f>IF(Datos[[#This Row],[Subsaldo]]*$L$4&lt;0,0,Datos[[#This Row],[Subsaldo]]*$L$4)</f>
        <v>93794.956955807822</v>
      </c>
      <c r="I71" s="8">
        <f>Datos[[#This Row],[Subsaldo]]+Datos[[#This Row],[Interes]]</f>
        <v>18852786.348117374</v>
      </c>
    </row>
    <row r="72" spans="2:9" ht="15.75" customHeight="1">
      <c r="B72" s="9">
        <v>2020</v>
      </c>
      <c r="C72" s="49">
        <v>44075</v>
      </c>
      <c r="D72" s="50">
        <v>44079</v>
      </c>
      <c r="E72" s="8">
        <f>VLOOKUP(Datos[[#This Row],[Año]],Tabla1[],4,FALSE)</f>
        <v>284994.793592592</v>
      </c>
      <c r="F72" s="8">
        <v>0</v>
      </c>
      <c r="G72" s="8">
        <f>(Datos[[#This Row],[Valor del capital]]-Datos[[#This Row],[Valor Pagado ]])+I71</f>
        <v>19137781.141709965</v>
      </c>
      <c r="H72" s="51">
        <f>IF(Datos[[#This Row],[Subsaldo]]*$L$4&lt;0,0,Datos[[#This Row],[Subsaldo]]*$L$4)</f>
        <v>95688.905708549821</v>
      </c>
      <c r="I72" s="8">
        <f>Datos[[#This Row],[Subsaldo]]+Datos[[#This Row],[Interes]]</f>
        <v>19233470.047418516</v>
      </c>
    </row>
    <row r="73" spans="2:9" ht="15.75" customHeight="1">
      <c r="B73" s="9">
        <v>2020</v>
      </c>
      <c r="C73" s="49">
        <v>44105</v>
      </c>
      <c r="D73" s="50">
        <v>44109</v>
      </c>
      <c r="E73" s="8">
        <f>VLOOKUP(Datos[[#This Row],[Año]],Tabla1[],4,FALSE)</f>
        <v>284994.793592592</v>
      </c>
      <c r="F73" s="8">
        <v>0</v>
      </c>
      <c r="G73" s="8">
        <f>(Datos[[#This Row],[Valor del capital]]-Datos[[#This Row],[Valor Pagado ]])+I72</f>
        <v>19518464.841011107</v>
      </c>
      <c r="H73" s="51">
        <f>IF(Datos[[#This Row],[Subsaldo]]*$L$4&lt;0,0,Datos[[#This Row],[Subsaldo]]*$L$4)</f>
        <v>97592.324205055542</v>
      </c>
      <c r="I73" s="8">
        <f>Datos[[#This Row],[Subsaldo]]+Datos[[#This Row],[Interes]]</f>
        <v>19616057.165216163</v>
      </c>
    </row>
    <row r="74" spans="2:9" ht="15.75" customHeight="1">
      <c r="B74" s="9">
        <v>2020</v>
      </c>
      <c r="C74" s="49">
        <v>44136</v>
      </c>
      <c r="D74" s="50">
        <v>44140</v>
      </c>
      <c r="E74" s="8">
        <f>VLOOKUP(Datos[[#This Row],[Año]],Tabla1[],4,FALSE)</f>
        <v>284994.793592592</v>
      </c>
      <c r="F74" s="8">
        <v>0</v>
      </c>
      <c r="G74" s="8">
        <f>(Datos[[#This Row],[Valor del capital]]-Datos[[#This Row],[Valor Pagado ]])+I73</f>
        <v>19901051.958808754</v>
      </c>
      <c r="H74" s="51">
        <f>IF(Datos[[#This Row],[Subsaldo]]*$L$4&lt;0,0,Datos[[#This Row],[Subsaldo]]*$L$4)</f>
        <v>99505.25979404377</v>
      </c>
      <c r="I74" s="8">
        <f>Datos[[#This Row],[Subsaldo]]+Datos[[#This Row],[Interes]]</f>
        <v>20000557.218602799</v>
      </c>
    </row>
    <row r="75" spans="2:9" ht="15.75" customHeight="1">
      <c r="B75" s="9">
        <v>2020</v>
      </c>
      <c r="C75" s="49">
        <v>44166</v>
      </c>
      <c r="D75" s="50">
        <v>44170</v>
      </c>
      <c r="E75" s="8">
        <f>VLOOKUP(Datos[[#This Row],[Año]],Tabla1[],4,FALSE)</f>
        <v>284994.793592592</v>
      </c>
      <c r="F75" s="8">
        <v>4380000</v>
      </c>
      <c r="G75" s="8">
        <f>(Datos[[#This Row],[Valor del capital]]-Datos[[#This Row],[Valor Pagado ]])+I74</f>
        <v>15905552.01219539</v>
      </c>
      <c r="H75" s="51">
        <f>IF(Datos[[#This Row],[Subsaldo]]*$L$4&lt;0,0,Datos[[#This Row],[Subsaldo]]*$L$4)</f>
        <v>79527.760060976943</v>
      </c>
      <c r="I75" s="8">
        <f>Datos[[#This Row],[Subsaldo]]+Datos[[#This Row],[Interes]]</f>
        <v>15985079.772256367</v>
      </c>
    </row>
    <row r="76" spans="2:9" ht="15.75" customHeight="1">
      <c r="B76" s="9">
        <v>2021</v>
      </c>
      <c r="C76" s="49">
        <v>44197</v>
      </c>
      <c r="D76" s="50">
        <v>44201</v>
      </c>
      <c r="E76" s="8">
        <f>VLOOKUP(Datos[[#This Row],[Año]],Tabla1[],4,FALSE)</f>
        <v>294969.6113683327</v>
      </c>
      <c r="F76" s="8">
        <v>0</v>
      </c>
      <c r="G76" s="8">
        <f>(Datos[[#This Row],[Valor del capital]]-Datos[[#This Row],[Valor Pagado ]])+I75</f>
        <v>16280049.383624699</v>
      </c>
      <c r="H76" s="51">
        <f>IF(Datos[[#This Row],[Subsaldo]]*$L$4&lt;0,0,Datos[[#This Row],[Subsaldo]]*$L$4)</f>
        <v>81400.246918123492</v>
      </c>
      <c r="I76" s="8">
        <f>Datos[[#This Row],[Subsaldo]]+Datos[[#This Row],[Interes]]</f>
        <v>16361449.630542822</v>
      </c>
    </row>
    <row r="77" spans="2:9" ht="15.75" customHeight="1">
      <c r="B77" s="9">
        <v>2021</v>
      </c>
      <c r="C77" s="49">
        <v>44228</v>
      </c>
      <c r="D77" s="50">
        <v>44232</v>
      </c>
      <c r="E77" s="8">
        <f>VLOOKUP(Datos[[#This Row],[Año]],Tabla1[],4,FALSE)</f>
        <v>294969.6113683327</v>
      </c>
      <c r="F77" s="8">
        <v>0</v>
      </c>
      <c r="G77" s="8">
        <f>(Datos[[#This Row],[Valor del capital]]-Datos[[#This Row],[Valor Pagado ]])+I76</f>
        <v>16656419.241911154</v>
      </c>
      <c r="H77" s="51">
        <f>IF(Datos[[#This Row],[Subsaldo]]*$L$4&lt;0,0,Datos[[#This Row],[Subsaldo]]*$L$4)</f>
        <v>83282.096209555777</v>
      </c>
      <c r="I77" s="8">
        <f>Datos[[#This Row],[Subsaldo]]+Datos[[#This Row],[Interes]]</f>
        <v>16739701.33812071</v>
      </c>
    </row>
    <row r="78" spans="2:9" ht="15.75" customHeight="1">
      <c r="B78" s="9">
        <v>2021</v>
      </c>
      <c r="C78" s="49">
        <v>44256</v>
      </c>
      <c r="D78" s="50">
        <v>44260</v>
      </c>
      <c r="E78" s="8">
        <f>VLOOKUP(Datos[[#This Row],[Año]],Tabla1[],4,FALSE)</f>
        <v>294969.6113683327</v>
      </c>
      <c r="F78" s="8">
        <v>0</v>
      </c>
      <c r="G78" s="8">
        <f>(Datos[[#This Row],[Valor del capital]]-Datos[[#This Row],[Valor Pagado ]])+I77</f>
        <v>17034670.949489042</v>
      </c>
      <c r="H78" s="51">
        <f>IF(Datos[[#This Row],[Subsaldo]]*$L$4&lt;0,0,Datos[[#This Row],[Subsaldo]]*$L$4)</f>
        <v>85173.354747445206</v>
      </c>
      <c r="I78" s="8">
        <f>Datos[[#This Row],[Subsaldo]]+Datos[[#This Row],[Interes]]</f>
        <v>17119844.304236487</v>
      </c>
    </row>
    <row r="79" spans="2:9" ht="15.75" customHeight="1">
      <c r="B79" s="9">
        <v>2021</v>
      </c>
      <c r="C79" s="49">
        <v>44287</v>
      </c>
      <c r="D79" s="50">
        <v>44291</v>
      </c>
      <c r="E79" s="8">
        <f>VLOOKUP(Datos[[#This Row],[Año]],Tabla1[],4,FALSE)</f>
        <v>294969.6113683327</v>
      </c>
      <c r="F79" s="8">
        <v>1440000</v>
      </c>
      <c r="G79" s="8">
        <f>(Datos[[#This Row],[Valor del capital]]-Datos[[#This Row],[Valor Pagado ]])+I78</f>
        <v>15974813.915604819</v>
      </c>
      <c r="H79" s="51">
        <f>IF(Datos[[#This Row],[Subsaldo]]*$L$4&lt;0,0,Datos[[#This Row],[Subsaldo]]*$L$4)</f>
        <v>79874.069578024093</v>
      </c>
      <c r="I79" s="8">
        <f>Datos[[#This Row],[Subsaldo]]+Datos[[#This Row],[Interes]]</f>
        <v>16054687.985182842</v>
      </c>
    </row>
    <row r="80" spans="2:9" ht="15.75" customHeight="1">
      <c r="B80" s="9">
        <v>2021</v>
      </c>
      <c r="C80" s="49">
        <v>44317</v>
      </c>
      <c r="D80" s="50">
        <v>44321</v>
      </c>
      <c r="E80" s="8">
        <f>VLOOKUP(Datos[[#This Row],[Año]],Tabla1[],4,FALSE)</f>
        <v>294969.6113683327</v>
      </c>
      <c r="F80" s="8">
        <v>0</v>
      </c>
      <c r="G80" s="8">
        <f>(Datos[[#This Row],[Valor del capital]]-Datos[[#This Row],[Valor Pagado ]])+I79</f>
        <v>16349657.596551174</v>
      </c>
      <c r="H80" s="51">
        <f>IF(Datos[[#This Row],[Subsaldo]]*$L$4&lt;0,0,Datos[[#This Row],[Subsaldo]]*$L$4)</f>
        <v>81748.287982755879</v>
      </c>
      <c r="I80" s="8">
        <f>Datos[[#This Row],[Subsaldo]]+Datos[[#This Row],[Interes]]</f>
        <v>16431405.884533931</v>
      </c>
    </row>
    <row r="81" spans="2:9" ht="15.75" customHeight="1">
      <c r="B81" s="9">
        <v>2021</v>
      </c>
      <c r="C81" s="49">
        <v>44348</v>
      </c>
      <c r="D81" s="50">
        <v>44352</v>
      </c>
      <c r="E81" s="8">
        <f>VLOOKUP(Datos[[#This Row],[Año]],Tabla1[],4,FALSE)</f>
        <v>294969.6113683327</v>
      </c>
      <c r="F81" s="8">
        <v>0</v>
      </c>
      <c r="G81" s="8">
        <f>(Datos[[#This Row],[Valor del capital]]-Datos[[#This Row],[Valor Pagado ]])+I80</f>
        <v>16726375.495902263</v>
      </c>
      <c r="H81" s="51">
        <f>IF(Datos[[#This Row],[Subsaldo]]*$L$4&lt;0,0,Datos[[#This Row],[Subsaldo]]*$L$4)</f>
        <v>83631.877479511313</v>
      </c>
      <c r="I81" s="8">
        <f>Datos[[#This Row],[Subsaldo]]+Datos[[#This Row],[Interes]]</f>
        <v>16810007.373381775</v>
      </c>
    </row>
    <row r="82" spans="2:9" ht="15.75" customHeight="1">
      <c r="B82" s="9" t="s">
        <v>0</v>
      </c>
      <c r="C82" s="9">
        <f>SUBTOTAL(103,Datos[Mes])</f>
        <v>79</v>
      </c>
      <c r="E82" s="8">
        <f>SUBTOTAL(109,Datos[Valor del capital])</f>
        <v>19730528.525839493</v>
      </c>
      <c r="F82" s="8">
        <f>SUBTOTAL(109,Datos[[Valor Pagado ]])</f>
        <v>6639700</v>
      </c>
      <c r="H82" s="51">
        <f>SUBTOTAL(109,Datos[Interes])</f>
        <v>3719178.8475422892</v>
      </c>
      <c r="I82" s="8">
        <f>I81</f>
        <v>16810007.373381775</v>
      </c>
    </row>
    <row r="83" spans="2:9" ht="15.75" customHeight="1">
      <c r="C83" s="49"/>
      <c r="D83" s="50"/>
      <c r="E83" s="8"/>
      <c r="F83" s="8"/>
      <c r="G83" s="8"/>
      <c r="H83" s="51"/>
      <c r="I83" s="8"/>
    </row>
    <row r="84" spans="2:9" ht="15.75" customHeight="1">
      <c r="C84" s="49"/>
      <c r="D84" s="50"/>
      <c r="E84" s="8"/>
      <c r="F84" s="8"/>
      <c r="G84" s="8"/>
      <c r="H84" s="51"/>
      <c r="I84" s="8"/>
    </row>
    <row r="85" spans="2:9" ht="15.75" customHeight="1">
      <c r="C85" s="49"/>
      <c r="D85" s="50"/>
      <c r="E85" s="8"/>
      <c r="F85" s="8"/>
      <c r="G85" s="8"/>
      <c r="H85" s="51"/>
      <c r="I85" s="8"/>
    </row>
    <row r="86" spans="2:9" ht="15.75" customHeight="1">
      <c r="C86" s="49"/>
      <c r="D86" s="50"/>
      <c r="E86" s="8"/>
      <c r="F86" s="8"/>
      <c r="G86" s="8"/>
      <c r="H86" s="51"/>
      <c r="I86" s="8"/>
    </row>
    <row r="87" spans="2:9" ht="15.75" customHeight="1">
      <c r="C87" s="49"/>
      <c r="D87" s="50"/>
      <c r="E87" s="8"/>
      <c r="F87" s="8"/>
      <c r="G87" s="8"/>
      <c r="H87" s="51"/>
      <c r="I87" s="8"/>
    </row>
    <row r="88" spans="2:9" ht="15.75" customHeight="1">
      <c r="C88" s="49"/>
      <c r="D88" s="50"/>
      <c r="E88" s="8"/>
      <c r="F88" s="8"/>
      <c r="G88" s="8"/>
      <c r="H88" s="51"/>
      <c r="I88" s="8"/>
    </row>
    <row r="89" spans="2:9" ht="15.75" customHeight="1"/>
    <row r="90" spans="2:9" ht="15.75" customHeight="1"/>
    <row r="91" spans="2:9" ht="15.75" customHeight="1"/>
    <row r="92" spans="2:9" ht="15.75" customHeight="1"/>
    <row r="93" spans="2:9" ht="15.75" customHeight="1"/>
    <row r="94" spans="2:9" ht="15.75" customHeight="1"/>
    <row r="95" spans="2:9" ht="15.75" customHeight="1"/>
    <row r="96" spans="2:9" ht="15.75" customHeight="1"/>
    <row r="97" spans="3:11" ht="15.75" customHeight="1"/>
    <row r="98" spans="3:11" ht="15.75" customHeight="1"/>
    <row r="99" spans="3:11" ht="15.75" customHeight="1"/>
    <row r="100" spans="3:11" ht="15.75" customHeight="1"/>
    <row r="101" spans="3:11" ht="15.75" customHeight="1"/>
    <row r="102" spans="3:11" ht="35.5" customHeight="1"/>
    <row r="103" spans="3:11" ht="15.75" customHeight="1"/>
    <row r="104" spans="3:11" ht="15.75" customHeight="1"/>
    <row r="105" spans="3:11" ht="15.75" customHeight="1">
      <c r="C105" s="35"/>
      <c r="D105" s="2"/>
      <c r="E105" s="3"/>
      <c r="F105" s="3"/>
      <c r="G105" s="4"/>
      <c r="H105" s="4"/>
      <c r="I105" s="5"/>
    </row>
    <row r="106" spans="3:11" ht="15.75" customHeight="1">
      <c r="C106" s="36"/>
      <c r="D106" s="5"/>
      <c r="E106" s="5"/>
      <c r="F106" s="3"/>
      <c r="G106" s="5"/>
      <c r="H106" s="5"/>
      <c r="I106" s="5"/>
    </row>
    <row r="107" spans="3:11" ht="15.75" customHeight="1">
      <c r="C107" s="37"/>
      <c r="D107" s="5"/>
      <c r="E107" s="5"/>
      <c r="F107" s="3"/>
      <c r="G107" s="5"/>
      <c r="H107" s="5"/>
      <c r="I107" s="5"/>
      <c r="K107" s="38"/>
    </row>
    <row r="108" spans="3:11" ht="15.75" customHeight="1">
      <c r="C108" s="37"/>
      <c r="D108" s="5"/>
      <c r="E108" s="5"/>
      <c r="F108" s="3"/>
      <c r="G108" s="5"/>
      <c r="H108" s="5"/>
      <c r="I108" s="5"/>
      <c r="K108" s="38"/>
    </row>
    <row r="109" spans="3:11" ht="15.75" customHeight="1">
      <c r="C109" s="37"/>
      <c r="D109" s="5"/>
      <c r="E109" s="5"/>
      <c r="F109" s="3"/>
      <c r="G109" s="5"/>
      <c r="H109" s="5"/>
      <c r="I109" s="5"/>
      <c r="K109" s="38"/>
    </row>
    <row r="110" spans="3:11" ht="15.75" customHeight="1">
      <c r="C110" s="39"/>
      <c r="D110" s="40"/>
      <c r="E110" s="40"/>
      <c r="F110" s="6"/>
      <c r="G110" s="5"/>
      <c r="H110" s="4"/>
      <c r="I110" s="4"/>
      <c r="K110" s="38"/>
    </row>
    <row r="111" spans="3:11" ht="14.5">
      <c r="C111" s="39"/>
      <c r="D111" s="40"/>
      <c r="E111" s="40"/>
      <c r="F111" s="3"/>
      <c r="G111" s="5"/>
      <c r="H111" s="3"/>
      <c r="I111" s="4"/>
      <c r="K111" s="38"/>
    </row>
    <row r="112" spans="3:11" ht="15.65" customHeight="1">
      <c r="C112" s="41"/>
      <c r="D112" s="41"/>
      <c r="E112" s="41"/>
      <c r="F112" s="3"/>
      <c r="G112" s="5"/>
      <c r="H112" s="5"/>
      <c r="I112" s="4"/>
    </row>
    <row r="113" spans="3:11" ht="15.75" customHeight="1">
      <c r="C113" s="37"/>
      <c r="D113" s="5"/>
      <c r="E113" s="5"/>
      <c r="F113" s="3"/>
      <c r="G113" s="5"/>
      <c r="H113" s="5"/>
      <c r="I113" s="5"/>
      <c r="K113" s="8"/>
    </row>
    <row r="114" spans="3:11" ht="15.75" customHeight="1">
      <c r="C114" s="37"/>
      <c r="D114" s="5"/>
      <c r="E114" s="5"/>
      <c r="F114" s="3"/>
      <c r="G114" s="5"/>
      <c r="H114" s="5"/>
      <c r="I114" s="5"/>
      <c r="K114" s="8"/>
    </row>
    <row r="115" spans="3:11" ht="19.5" customHeight="1">
      <c r="C115" s="42"/>
      <c r="D115" s="42"/>
      <c r="E115" s="42"/>
      <c r="F115" s="3"/>
      <c r="G115" s="7"/>
      <c r="H115" s="4"/>
      <c r="I115" s="5"/>
      <c r="K115" s="8"/>
    </row>
    <row r="116" spans="3:11" ht="15.75" customHeight="1">
      <c r="C116" s="43"/>
      <c r="D116" s="43"/>
      <c r="E116" s="43"/>
      <c r="F116" s="3"/>
      <c r="G116" s="7"/>
      <c r="H116" s="4"/>
      <c r="I116" s="4"/>
      <c r="K116" s="8"/>
    </row>
    <row r="117" spans="3:11" ht="15.75" customHeight="1">
      <c r="C117" s="44"/>
      <c r="D117" s="45"/>
      <c r="E117" s="45"/>
      <c r="F117" s="45"/>
      <c r="G117" s="45"/>
      <c r="H117" s="45"/>
      <c r="I117" s="8"/>
      <c r="K117" s="8"/>
    </row>
    <row r="118" spans="3:11" ht="15.75" customHeight="1">
      <c r="C118" s="45"/>
      <c r="D118" s="45"/>
      <c r="E118" s="45"/>
      <c r="F118" s="45"/>
      <c r="G118" s="45"/>
      <c r="H118" s="45"/>
    </row>
    <row r="119" spans="3:11" ht="15.75" customHeight="1"/>
    <row r="120" spans="3:11" ht="15.75" customHeight="1"/>
    <row r="121" spans="3:11" ht="15.75" customHeight="1"/>
    <row r="122" spans="3:11" ht="15.75" customHeight="1"/>
    <row r="123" spans="3:11" ht="15.75" customHeight="1"/>
    <row r="124" spans="3:11" ht="15.75" customHeight="1"/>
    <row r="125" spans="3:11" ht="15.75" customHeight="1"/>
    <row r="126" spans="3:11" ht="15.75" customHeight="1"/>
    <row r="127" spans="3:11" ht="15.75" customHeight="1"/>
    <row r="128" spans="3:11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pageMargins left="0.7" right="0.7" top="0.75" bottom="0.75" header="0" footer="0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DEB52-1FD0-436A-A05D-0D0EB52BDB8B}">
  <dimension ref="B2:K30"/>
  <sheetViews>
    <sheetView showGridLines="0" showRowColHeaders="0" topLeftCell="A19" workbookViewId="0">
      <selection activeCell="J10" sqref="J10"/>
    </sheetView>
  </sheetViews>
  <sheetFormatPr baseColWidth="10" defaultColWidth="11" defaultRowHeight="14"/>
  <cols>
    <col min="1" max="2" width="11" style="1"/>
    <col min="3" max="3" width="12.33203125" style="1" bestFit="1" customWidth="1"/>
    <col min="4" max="4" width="12.83203125" style="1" bestFit="1" customWidth="1"/>
    <col min="5" max="5" width="14" style="1" bestFit="1" customWidth="1"/>
    <col min="6" max="9" width="11" style="1"/>
    <col min="10" max="10" width="11.5" style="1" customWidth="1"/>
    <col min="11" max="11" width="12.6640625" style="1" customWidth="1"/>
    <col min="12" max="16384" width="11" style="1"/>
  </cols>
  <sheetData>
    <row r="2" spans="2:11">
      <c r="B2" s="69" t="s">
        <v>3</v>
      </c>
      <c r="C2" s="69"/>
      <c r="D2" s="69"/>
      <c r="E2" s="69"/>
      <c r="H2" s="70" t="s">
        <v>49</v>
      </c>
      <c r="I2" s="70"/>
      <c r="J2" s="70"/>
      <c r="K2" s="70"/>
    </row>
    <row r="3" spans="2:11">
      <c r="B3" s="53" t="s">
        <v>2</v>
      </c>
      <c r="C3" s="53" t="s">
        <v>4</v>
      </c>
      <c r="D3" s="53" t="s">
        <v>5</v>
      </c>
      <c r="E3" s="53" t="s">
        <v>6</v>
      </c>
      <c r="H3" s="1" t="s">
        <v>2</v>
      </c>
      <c r="I3" s="1" t="s">
        <v>4</v>
      </c>
      <c r="J3" s="1" t="s">
        <v>5</v>
      </c>
      <c r="K3" s="1" t="s">
        <v>6</v>
      </c>
    </row>
    <row r="4" spans="2:11">
      <c r="B4" s="53">
        <v>1995</v>
      </c>
      <c r="C4" s="54">
        <v>0</v>
      </c>
      <c r="D4" s="53">
        <v>20.5</v>
      </c>
      <c r="E4" s="54">
        <f>Tabla1[[#This Row],[Cuota ]]+(Tabla1[[#This Row],[Cuota ]]*Tabla1[[#This Row],[Incremento]]%)</f>
        <v>0</v>
      </c>
      <c r="H4" s="1">
        <v>1995</v>
      </c>
      <c r="I4" s="1">
        <v>0</v>
      </c>
      <c r="J4" s="1">
        <v>22.59</v>
      </c>
      <c r="K4" s="1">
        <v>0</v>
      </c>
    </row>
    <row r="5" spans="2:11">
      <c r="B5" s="53">
        <v>1996</v>
      </c>
      <c r="C5" s="54">
        <f t="shared" ref="C5:C30" si="0">E4</f>
        <v>0</v>
      </c>
      <c r="D5" s="53">
        <v>19.5</v>
      </c>
      <c r="E5" s="54">
        <f>Tabla1[[#This Row],[Cuota ]]+(Tabla1[[#This Row],[Cuota ]]*Tabla1[[#This Row],[Incremento]]%)</f>
        <v>0</v>
      </c>
      <c r="H5" s="1">
        <v>1996</v>
      </c>
      <c r="I5" s="1">
        <v>0</v>
      </c>
      <c r="J5" s="1">
        <v>19.46</v>
      </c>
      <c r="K5" s="1">
        <v>0</v>
      </c>
    </row>
    <row r="6" spans="2:11">
      <c r="B6" s="53">
        <v>1997</v>
      </c>
      <c r="C6" s="54">
        <f t="shared" si="0"/>
        <v>0</v>
      </c>
      <c r="D6" s="53">
        <v>21</v>
      </c>
      <c r="E6" s="54">
        <f>Tabla1[[#This Row],[Cuota ]]+(Tabla1[[#This Row],[Cuota ]]*Tabla1[[#This Row],[Incremento]]%)</f>
        <v>0</v>
      </c>
      <c r="H6" s="1">
        <v>1997</v>
      </c>
      <c r="I6" s="1">
        <v>0</v>
      </c>
      <c r="J6" s="1">
        <v>21.63</v>
      </c>
      <c r="K6" s="1">
        <v>0</v>
      </c>
    </row>
    <row r="7" spans="2:11">
      <c r="B7" s="53">
        <v>1998</v>
      </c>
      <c r="C7" s="54">
        <f t="shared" si="0"/>
        <v>0</v>
      </c>
      <c r="D7" s="53">
        <v>18.5</v>
      </c>
      <c r="E7" s="54">
        <f>Tabla1[[#This Row],[Cuota ]]+(Tabla1[[#This Row],[Cuota ]]*Tabla1[[#This Row],[Incremento]]%)</f>
        <v>0</v>
      </c>
      <c r="H7" s="1">
        <v>1998</v>
      </c>
      <c r="I7" s="1">
        <v>0</v>
      </c>
      <c r="J7" s="1">
        <v>17.68</v>
      </c>
      <c r="K7" s="1">
        <v>0</v>
      </c>
    </row>
    <row r="8" spans="2:11">
      <c r="B8" s="53">
        <v>1999</v>
      </c>
      <c r="C8" s="54">
        <f t="shared" si="0"/>
        <v>0</v>
      </c>
      <c r="D8" s="53">
        <v>16</v>
      </c>
      <c r="E8" s="54">
        <f>Tabla1[[#This Row],[Cuota ]]+(Tabla1[[#This Row],[Cuota ]]*Tabla1[[#This Row],[Incremento]]%)</f>
        <v>0</v>
      </c>
      <c r="H8" s="1">
        <v>1999</v>
      </c>
      <c r="I8" s="1">
        <v>0</v>
      </c>
      <c r="J8" s="1">
        <v>16.7</v>
      </c>
      <c r="K8" s="1">
        <v>0</v>
      </c>
    </row>
    <row r="9" spans="2:11">
      <c r="B9" s="53">
        <v>2000</v>
      </c>
      <c r="C9" s="54">
        <f t="shared" si="0"/>
        <v>0</v>
      </c>
      <c r="D9" s="53">
        <v>10</v>
      </c>
      <c r="E9" s="54">
        <f>Tabla1[[#This Row],[Cuota ]]+(Tabla1[[#This Row],[Cuota ]]*Tabla1[[#This Row],[Incremento]]%)</f>
        <v>0</v>
      </c>
      <c r="H9" s="1">
        <v>2000</v>
      </c>
      <c r="I9" s="1">
        <v>0</v>
      </c>
      <c r="J9" s="1">
        <v>9.23</v>
      </c>
      <c r="K9" s="1">
        <v>0</v>
      </c>
    </row>
    <row r="10" spans="2:11">
      <c r="B10" s="53">
        <v>2001</v>
      </c>
      <c r="C10" s="54">
        <f t="shared" si="0"/>
        <v>0</v>
      </c>
      <c r="D10" s="53">
        <v>10</v>
      </c>
      <c r="E10" s="54">
        <f>Tabla1[[#This Row],[Cuota ]]+(Tabla1[[#This Row],[Cuota ]]*Tabla1[[#This Row],[Incremento]]%)</f>
        <v>0</v>
      </c>
      <c r="H10" s="1">
        <v>2001</v>
      </c>
      <c r="I10" s="1">
        <v>0</v>
      </c>
      <c r="J10" s="1">
        <v>8.75</v>
      </c>
      <c r="K10" s="1">
        <v>0</v>
      </c>
    </row>
    <row r="11" spans="2:11">
      <c r="B11" s="53">
        <v>2002</v>
      </c>
      <c r="C11" s="54">
        <f t="shared" si="0"/>
        <v>0</v>
      </c>
      <c r="D11" s="53">
        <v>8</v>
      </c>
      <c r="E11" s="54">
        <f>Tabla1[[#This Row],[Cuota ]]+(Tabla1[[#This Row],[Cuota ]]*Tabla1[[#This Row],[Incremento]]%)</f>
        <v>0</v>
      </c>
      <c r="H11" s="1">
        <v>2002</v>
      </c>
      <c r="I11" s="1">
        <v>0</v>
      </c>
      <c r="J11" s="1">
        <v>7.65</v>
      </c>
      <c r="K11" s="1">
        <v>0</v>
      </c>
    </row>
    <row r="12" spans="2:11">
      <c r="B12" s="53">
        <v>2003</v>
      </c>
      <c r="C12" s="54">
        <f t="shared" si="0"/>
        <v>0</v>
      </c>
      <c r="D12" s="53">
        <v>7.4</v>
      </c>
      <c r="E12" s="54">
        <f>Tabla1[[#This Row],[Cuota ]]+(Tabla1[[#This Row],[Cuota ]]*Tabla1[[#This Row],[Incremento]]%)</f>
        <v>0</v>
      </c>
      <c r="H12" s="1">
        <v>2003</v>
      </c>
      <c r="I12" s="1">
        <v>0</v>
      </c>
      <c r="J12" s="1">
        <v>6.99</v>
      </c>
      <c r="K12" s="1">
        <v>0</v>
      </c>
    </row>
    <row r="13" spans="2:11">
      <c r="B13" s="53">
        <v>2004</v>
      </c>
      <c r="C13" s="54">
        <f t="shared" si="0"/>
        <v>0</v>
      </c>
      <c r="D13" s="53">
        <v>7.8</v>
      </c>
      <c r="E13" s="54">
        <f>Tabla1[[#This Row],[Cuota ]]+(Tabla1[[#This Row],[Cuota ]]*Tabla1[[#This Row],[Incremento]]%)</f>
        <v>0</v>
      </c>
      <c r="H13" s="1">
        <v>2004</v>
      </c>
      <c r="I13" s="1">
        <v>0</v>
      </c>
      <c r="J13" s="1">
        <v>6.49</v>
      </c>
      <c r="K13" s="1">
        <v>0</v>
      </c>
    </row>
    <row r="14" spans="2:11">
      <c r="B14" s="53">
        <v>2005</v>
      </c>
      <c r="C14" s="54">
        <f t="shared" si="0"/>
        <v>0</v>
      </c>
      <c r="D14" s="53">
        <v>6.6</v>
      </c>
      <c r="E14" s="54">
        <f>Tabla1[[#This Row],[Cuota ]]+(Tabla1[[#This Row],[Cuota ]]*Tabla1[[#This Row],[Incremento]]%)</f>
        <v>0</v>
      </c>
      <c r="H14" s="1">
        <v>2005</v>
      </c>
      <c r="I14" s="1">
        <v>0</v>
      </c>
      <c r="J14" s="1">
        <v>5.5</v>
      </c>
      <c r="K14" s="1">
        <v>0</v>
      </c>
    </row>
    <row r="15" spans="2:11">
      <c r="B15" s="53">
        <v>2006</v>
      </c>
      <c r="C15" s="54">
        <f t="shared" si="0"/>
        <v>0</v>
      </c>
      <c r="D15" s="53">
        <v>6.9</v>
      </c>
      <c r="E15" s="54">
        <f>Tabla1[[#This Row],[Cuota ]]+(Tabla1[[#This Row],[Cuota ]]*Tabla1[[#This Row],[Incremento]]%)</f>
        <v>0</v>
      </c>
      <c r="H15" s="1">
        <v>2006</v>
      </c>
      <c r="I15" s="1">
        <v>0</v>
      </c>
      <c r="J15" s="1">
        <v>4.8499999999999996</v>
      </c>
      <c r="K15" s="1">
        <v>0</v>
      </c>
    </row>
    <row r="16" spans="2:11">
      <c r="B16" s="53">
        <v>2007</v>
      </c>
      <c r="C16" s="54">
        <f t="shared" si="0"/>
        <v>0</v>
      </c>
      <c r="D16" s="53">
        <v>6.3</v>
      </c>
      <c r="E16" s="54">
        <f>Tabla1[[#This Row],[Cuota ]]+(Tabla1[[#This Row],[Cuota ]]*Tabla1[[#This Row],[Incremento]]%)</f>
        <v>0</v>
      </c>
      <c r="H16" s="1">
        <v>2007</v>
      </c>
      <c r="I16" s="1">
        <v>0</v>
      </c>
      <c r="J16" s="1">
        <v>4.4800000000000004</v>
      </c>
      <c r="K16" s="1">
        <v>0</v>
      </c>
    </row>
    <row r="17" spans="2:11">
      <c r="B17" s="53">
        <v>2008</v>
      </c>
      <c r="C17" s="54">
        <f t="shared" si="0"/>
        <v>0</v>
      </c>
      <c r="D17" s="53">
        <v>6.4</v>
      </c>
      <c r="E17" s="54">
        <f>Tabla1[[#This Row],[Cuota ]]+(Tabla1[[#This Row],[Cuota ]]*Tabla1[[#This Row],[Incremento]]%)</f>
        <v>0</v>
      </c>
      <c r="H17" s="1">
        <v>2008</v>
      </c>
      <c r="I17" s="1">
        <v>0</v>
      </c>
      <c r="J17" s="1">
        <v>5.69</v>
      </c>
      <c r="K17" s="1">
        <v>0</v>
      </c>
    </row>
    <row r="18" spans="2:11">
      <c r="B18" s="53">
        <v>2009</v>
      </c>
      <c r="C18" s="54">
        <f t="shared" si="0"/>
        <v>0</v>
      </c>
      <c r="D18" s="53">
        <v>7.7</v>
      </c>
      <c r="E18" s="54">
        <f>Tabla1[[#This Row],[Cuota ]]+(Tabla1[[#This Row],[Cuota ]]*Tabla1[[#This Row],[Incremento]]%)</f>
        <v>0</v>
      </c>
      <c r="H18" s="1">
        <v>2009</v>
      </c>
      <c r="I18" s="1">
        <v>0</v>
      </c>
      <c r="J18" s="1">
        <v>7.67</v>
      </c>
      <c r="K18" s="1">
        <v>0</v>
      </c>
    </row>
    <row r="19" spans="2:11">
      <c r="B19" s="53">
        <v>2010</v>
      </c>
      <c r="C19" s="54">
        <f t="shared" si="0"/>
        <v>0</v>
      </c>
      <c r="D19" s="53">
        <v>3.6</v>
      </c>
      <c r="E19" s="54">
        <f>Tabla1[[#This Row],[Cuota ]]+(Tabla1[[#This Row],[Cuota ]]*Tabla1[[#This Row],[Incremento]]%)</f>
        <v>0</v>
      </c>
      <c r="H19" s="1">
        <v>2010</v>
      </c>
      <c r="I19" s="1">
        <v>0</v>
      </c>
      <c r="J19" s="1">
        <v>2</v>
      </c>
      <c r="K19" s="1">
        <v>0</v>
      </c>
    </row>
    <row r="20" spans="2:11">
      <c r="B20" s="53">
        <v>2011</v>
      </c>
      <c r="C20" s="54">
        <f t="shared" si="0"/>
        <v>0</v>
      </c>
      <c r="D20" s="53">
        <v>4</v>
      </c>
      <c r="E20" s="54">
        <f>Tabla1[[#This Row],[Cuota ]]+(Tabla1[[#This Row],[Cuota ]]*Tabla1[[#This Row],[Incremento]]%)</f>
        <v>0</v>
      </c>
      <c r="H20" s="1">
        <v>2011</v>
      </c>
      <c r="I20" s="1">
        <v>0</v>
      </c>
      <c r="J20" s="1">
        <v>3.17</v>
      </c>
      <c r="K20" s="1">
        <v>0</v>
      </c>
    </row>
    <row r="21" spans="2:11">
      <c r="B21" s="53">
        <v>2012</v>
      </c>
      <c r="C21" s="54">
        <f t="shared" si="0"/>
        <v>0</v>
      </c>
      <c r="D21" s="53">
        <v>5.8</v>
      </c>
      <c r="E21" s="54">
        <f>Tabla1[[#This Row],[Cuota ]]+(Tabla1[[#This Row],[Cuota ]]*Tabla1[[#This Row],[Incremento]]%)</f>
        <v>0</v>
      </c>
      <c r="H21" s="1">
        <v>2012</v>
      </c>
      <c r="I21" s="1">
        <v>0</v>
      </c>
      <c r="J21" s="1">
        <v>3.73</v>
      </c>
      <c r="K21" s="1">
        <v>0</v>
      </c>
    </row>
    <row r="22" spans="2:11">
      <c r="B22" s="53">
        <v>2013</v>
      </c>
      <c r="C22" s="54">
        <f t="shared" si="0"/>
        <v>0</v>
      </c>
      <c r="D22" s="53">
        <v>4.0199999999999996</v>
      </c>
      <c r="E22" s="54">
        <f>Tabla1[[#This Row],[Cuota ]]+(Tabla1[[#This Row],[Cuota ]]*Tabla1[[#This Row],[Incremento]]%)</f>
        <v>0</v>
      </c>
      <c r="H22" s="1">
        <v>2013</v>
      </c>
      <c r="I22" s="1">
        <v>0</v>
      </c>
      <c r="J22" s="1">
        <v>2.44</v>
      </c>
      <c r="K22" s="1">
        <v>0</v>
      </c>
    </row>
    <row r="23" spans="2:11">
      <c r="B23" s="53">
        <v>2014</v>
      </c>
      <c r="C23" s="54">
        <f t="shared" si="0"/>
        <v>0</v>
      </c>
      <c r="D23" s="53">
        <v>4.5</v>
      </c>
      <c r="E23" s="54">
        <v>200000</v>
      </c>
      <c r="H23" s="1">
        <v>2014</v>
      </c>
      <c r="I23" s="1">
        <v>0</v>
      </c>
      <c r="J23" s="1">
        <v>1.94</v>
      </c>
      <c r="K23" s="1">
        <v>0</v>
      </c>
    </row>
    <row r="24" spans="2:11">
      <c r="B24" s="53">
        <v>2015</v>
      </c>
      <c r="C24" s="54">
        <f t="shared" si="0"/>
        <v>200000</v>
      </c>
      <c r="D24" s="53">
        <v>4.5999999999999996</v>
      </c>
      <c r="E24" s="54">
        <f>Tabla1[[#This Row],[Cuota ]]+(Tabla1[[#This Row],[Cuota ]]*Tabla1[[#This Row],[Incremento]]%)</f>
        <v>209200</v>
      </c>
      <c r="H24" s="1">
        <v>2015</v>
      </c>
      <c r="I24" s="1">
        <v>0</v>
      </c>
      <c r="J24" s="1">
        <v>3.66</v>
      </c>
      <c r="K24" s="1">
        <v>0</v>
      </c>
    </row>
    <row r="25" spans="2:11">
      <c r="B25" s="53">
        <v>2016</v>
      </c>
      <c r="C25" s="54">
        <f t="shared" si="0"/>
        <v>209200</v>
      </c>
      <c r="D25" s="53">
        <v>7</v>
      </c>
      <c r="E25" s="54">
        <f>Tabla1[[#This Row],[Cuota ]]+(Tabla1[[#This Row],[Cuota ]]*Tabla1[[#This Row],[Incremento]]%)</f>
        <v>223844</v>
      </c>
      <c r="H25" s="1">
        <v>2016</v>
      </c>
      <c r="I25" s="1">
        <v>0</v>
      </c>
      <c r="J25" s="1">
        <v>6.77</v>
      </c>
      <c r="K25" s="1">
        <v>0</v>
      </c>
    </row>
    <row r="26" spans="2:11">
      <c r="B26" s="53">
        <v>2017</v>
      </c>
      <c r="C26" s="54">
        <f t="shared" si="0"/>
        <v>223844</v>
      </c>
      <c r="D26" s="53">
        <v>7</v>
      </c>
      <c r="E26" s="54">
        <f>Tabla1[[#This Row],[Cuota ]]+(Tabla1[[#This Row],[Cuota ]]*Tabla1[[#This Row],[Incremento]]%)</f>
        <v>239513.08000000002</v>
      </c>
      <c r="H26" s="1">
        <v>2017</v>
      </c>
      <c r="I26" s="1">
        <v>0</v>
      </c>
      <c r="J26" s="1">
        <v>5.75</v>
      </c>
      <c r="K26" s="1">
        <v>0</v>
      </c>
    </row>
    <row r="27" spans="2:11">
      <c r="B27" s="53">
        <v>2018</v>
      </c>
      <c r="C27" s="54">
        <f t="shared" si="0"/>
        <v>239513.08000000002</v>
      </c>
      <c r="D27" s="53">
        <v>5.9</v>
      </c>
      <c r="E27" s="54">
        <f>Tabla1[[#This Row],[Cuota ]]+(Tabla1[[#This Row],[Cuota ]]*Tabla1[[#This Row],[Incremento]]%)</f>
        <v>253644.35172000001</v>
      </c>
      <c r="H27" s="1">
        <v>2018</v>
      </c>
      <c r="I27" s="1">
        <v>0</v>
      </c>
      <c r="J27" s="1">
        <v>4.09</v>
      </c>
      <c r="K27" s="1">
        <v>0</v>
      </c>
    </row>
    <row r="28" spans="2:11">
      <c r="B28" s="53">
        <v>2019</v>
      </c>
      <c r="C28" s="54">
        <f t="shared" si="0"/>
        <v>253644.35172000001</v>
      </c>
      <c r="D28" s="53">
        <v>6</v>
      </c>
      <c r="E28" s="54">
        <f>Tabla1[[#This Row],[Cuota ]]+(Tabla1[[#This Row],[Cuota ]]*Tabla1[[#This Row],[Incremento]]%)</f>
        <v>268863.01282320003</v>
      </c>
      <c r="H28" s="1">
        <v>2019</v>
      </c>
      <c r="I28" s="1">
        <v>0</v>
      </c>
      <c r="J28" s="1">
        <v>3.18</v>
      </c>
      <c r="K28" s="1">
        <v>0</v>
      </c>
    </row>
    <row r="29" spans="2:11">
      <c r="B29" s="53">
        <v>2020</v>
      </c>
      <c r="C29" s="54">
        <f t="shared" si="0"/>
        <v>268863.01282320003</v>
      </c>
      <c r="D29" s="53">
        <v>6</v>
      </c>
      <c r="E29" s="54">
        <f>Tabla1[[#This Row],[Cuota ]]+(Tabla1[[#This Row],[Cuota ]]*Tabla1[[#This Row],[Incremento]]%)</f>
        <v>284994.793592592</v>
      </c>
      <c r="H29" s="1">
        <v>2020</v>
      </c>
      <c r="I29" s="1">
        <v>0</v>
      </c>
      <c r="J29" s="1">
        <v>3.8</v>
      </c>
      <c r="K29" s="1">
        <v>0</v>
      </c>
    </row>
    <row r="30" spans="2:11">
      <c r="B30" s="53">
        <v>2021</v>
      </c>
      <c r="C30" s="54">
        <f t="shared" si="0"/>
        <v>284994.793592592</v>
      </c>
      <c r="D30" s="53">
        <v>3.5</v>
      </c>
      <c r="E30" s="54">
        <f>Tabla1[[#This Row],[Cuota ]]+(Tabla1[[#This Row],[Cuota ]]*Tabla1[[#This Row],[Incremento]]%)</f>
        <v>294969.6113683327</v>
      </c>
      <c r="H30" s="1">
        <v>2021</v>
      </c>
      <c r="I30" s="1">
        <v>0</v>
      </c>
      <c r="J30" s="1">
        <v>1.61</v>
      </c>
      <c r="K30" s="1">
        <v>0</v>
      </c>
    </row>
  </sheetData>
  <mergeCells count="2">
    <mergeCell ref="B2:E2"/>
    <mergeCell ref="H2:K2"/>
  </mergeCells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M1025"/>
  <sheetViews>
    <sheetView showGridLines="0" zoomScaleNormal="100" workbookViewId="0">
      <selection activeCell="B108" sqref="B108"/>
    </sheetView>
  </sheetViews>
  <sheetFormatPr baseColWidth="10" defaultColWidth="12.58203125" defaultRowHeight="15" customHeight="1"/>
  <cols>
    <col min="1" max="5" width="9.33203125" style="9" customWidth="1"/>
    <col min="6" max="6" width="12.58203125" style="9" bestFit="1" customWidth="1"/>
    <col min="7" max="7" width="14.58203125" style="9" bestFit="1" customWidth="1"/>
    <col min="8" max="8" width="15.08203125" style="9" bestFit="1" customWidth="1"/>
    <col min="9" max="9" width="14.08203125" style="9" bestFit="1" customWidth="1"/>
    <col min="10" max="10" width="15.08203125" style="9" bestFit="1" customWidth="1"/>
    <col min="11" max="11" width="12.58203125" style="9"/>
    <col min="12" max="12" width="17.58203125" style="9" bestFit="1" customWidth="1"/>
    <col min="13" max="13" width="15.08203125" style="9" bestFit="1" customWidth="1"/>
    <col min="14" max="16384" width="12.58203125" style="9"/>
  </cols>
  <sheetData>
    <row r="2" spans="3:13" ht="15.5">
      <c r="C2" s="34" t="s">
        <v>12</v>
      </c>
      <c r="D2" s="46" t="s">
        <v>1</v>
      </c>
      <c r="E2" s="47" t="s">
        <v>7</v>
      </c>
      <c r="F2" s="48" t="s">
        <v>8</v>
      </c>
      <c r="G2" s="48" t="s">
        <v>9</v>
      </c>
      <c r="H2" s="48" t="s">
        <v>13</v>
      </c>
      <c r="I2" s="46" t="s">
        <v>11</v>
      </c>
      <c r="J2" s="46" t="s">
        <v>10</v>
      </c>
      <c r="K2" s="46"/>
      <c r="L2" s="55" t="s">
        <v>15</v>
      </c>
      <c r="M2" s="9" t="s">
        <v>11</v>
      </c>
    </row>
    <row r="3" spans="3:13" ht="14">
      <c r="C3" s="9">
        <v>2014</v>
      </c>
      <c r="D3" s="49">
        <v>41640</v>
      </c>
      <c r="E3" s="50">
        <v>41644</v>
      </c>
      <c r="F3" s="8">
        <v>0</v>
      </c>
      <c r="G3" s="8">
        <v>0</v>
      </c>
      <c r="H3" s="8">
        <f>Tabla413[[#This Row],[Cuota]]-Tabla413[[#This Row],[Valor Pagado ]]</f>
        <v>0</v>
      </c>
      <c r="I3" s="8">
        <f>IF(Tabla413[[#This Row],[Valor Pagado ]]&gt;=Tabla413[[#This Row],[Cuota]],0,Tabla413[[#This Row],[Cuota]]*$M$3)</f>
        <v>0</v>
      </c>
      <c r="J3" s="8">
        <f>Tabla413[[#This Row],[Subsaldo]]+Tabla413[[#This Row],[Interes]]</f>
        <v>0</v>
      </c>
      <c r="L3" s="56" t="s">
        <v>16</v>
      </c>
      <c r="M3" s="52">
        <v>5.0000000000000001E-3</v>
      </c>
    </row>
    <row r="4" spans="3:13" ht="14">
      <c r="C4" s="9">
        <v>2014</v>
      </c>
      <c r="D4" s="49">
        <v>41671</v>
      </c>
      <c r="E4" s="50">
        <v>41675</v>
      </c>
      <c r="F4" s="8">
        <v>0</v>
      </c>
      <c r="G4" s="8">
        <v>0</v>
      </c>
      <c r="H4" s="8">
        <f>Tabla413[[#This Row],[Cuota]]-Tabla413[[#This Row],[Valor Pagado ]]</f>
        <v>0</v>
      </c>
      <c r="I4" s="8">
        <f>IF(Tabla413[[#This Row],[Valor Pagado ]]&gt;=Tabla413[[#This Row],[Cuota]],0,Tabla413[[#This Row],[Cuota]]*$M$3)</f>
        <v>0</v>
      </c>
      <c r="J4" s="8">
        <f>Tabla413[[#This Row],[Subsaldo]]+Tabla413[[#This Row],[Interes]]</f>
        <v>0</v>
      </c>
      <c r="L4" s="56" t="s">
        <v>17</v>
      </c>
      <c r="M4" s="57">
        <v>0.06</v>
      </c>
    </row>
    <row r="5" spans="3:13" ht="14">
      <c r="C5" s="9">
        <v>2014</v>
      </c>
      <c r="D5" s="49">
        <v>41699</v>
      </c>
      <c r="E5" s="50">
        <v>41703</v>
      </c>
      <c r="F5" s="8">
        <v>0</v>
      </c>
      <c r="G5" s="8">
        <v>0</v>
      </c>
      <c r="H5" s="8">
        <f>Tabla413[[#This Row],[Cuota]]-Tabla413[[#This Row],[Valor Pagado ]]</f>
        <v>0</v>
      </c>
      <c r="I5" s="8">
        <f>IF(Tabla413[[#This Row],[Valor Pagado ]]&gt;=Tabla413[[#This Row],[Cuota]],0,Tabla413[[#This Row],[Cuota]]*$M$3)</f>
        <v>0</v>
      </c>
      <c r="J5" s="8">
        <f>Tabla413[[#This Row],[Subsaldo]]+Tabla413[[#This Row],[Interes]]</f>
        <v>0</v>
      </c>
    </row>
    <row r="6" spans="3:13" ht="14">
      <c r="C6" s="9">
        <v>2014</v>
      </c>
      <c r="D6" s="49">
        <v>41730</v>
      </c>
      <c r="E6" s="50">
        <v>41734</v>
      </c>
      <c r="F6" s="8">
        <v>0</v>
      </c>
      <c r="G6" s="8">
        <v>0</v>
      </c>
      <c r="H6" s="8">
        <f>Tabla413[[#This Row],[Cuota]]-Tabla413[[#This Row],[Valor Pagado ]]</f>
        <v>0</v>
      </c>
      <c r="I6" s="8">
        <f>IF(Tabla413[[#This Row],[Valor Pagado ]]&gt;=Tabla413[[#This Row],[Cuota]],0,Tabla413[[#This Row],[Cuota]]*$M$3)</f>
        <v>0</v>
      </c>
      <c r="J6" s="8">
        <f>Tabla413[[#This Row],[Subsaldo]]+Tabla413[[#This Row],[Interes]]</f>
        <v>0</v>
      </c>
    </row>
    <row r="7" spans="3:13" ht="14">
      <c r="C7" s="9">
        <v>2014</v>
      </c>
      <c r="D7" s="49">
        <v>41760</v>
      </c>
      <c r="E7" s="50">
        <v>41764</v>
      </c>
      <c r="F7" s="8">
        <v>0</v>
      </c>
      <c r="G7" s="8">
        <v>0</v>
      </c>
      <c r="H7" s="8">
        <f>Tabla413[[#This Row],[Cuota]]-Tabla413[[#This Row],[Valor Pagado ]]</f>
        <v>0</v>
      </c>
      <c r="I7" s="8">
        <f>IF(Tabla413[[#This Row],[Valor Pagado ]]&gt;=Tabla413[[#This Row],[Cuota]],0,Tabla413[[#This Row],[Cuota]]*$M$3)</f>
        <v>0</v>
      </c>
      <c r="J7" s="8">
        <f>Tabla413[[#This Row],[Subsaldo]]+Tabla413[[#This Row],[Interes]]</f>
        <v>0</v>
      </c>
    </row>
    <row r="8" spans="3:13" ht="14">
      <c r="C8" s="9">
        <v>2014</v>
      </c>
      <c r="D8" s="49">
        <v>41791</v>
      </c>
      <c r="E8" s="50">
        <v>41795</v>
      </c>
      <c r="F8" s="8">
        <v>0</v>
      </c>
      <c r="G8" s="8">
        <v>0</v>
      </c>
      <c r="H8" s="8">
        <f>Tabla413[[#This Row],[Cuota]]-Tabla413[[#This Row],[Valor Pagado ]]</f>
        <v>0</v>
      </c>
      <c r="I8" s="8">
        <f>IF(Tabla413[[#This Row],[Valor Pagado ]]&gt;=Tabla413[[#This Row],[Cuota]],0,Tabla413[[#This Row],[Cuota]]*$M$3)</f>
        <v>0</v>
      </c>
      <c r="J8" s="8">
        <f>Tabla413[[#This Row],[Subsaldo]]+Tabla413[[#This Row],[Interes]]</f>
        <v>0</v>
      </c>
    </row>
    <row r="9" spans="3:13" ht="14">
      <c r="C9" s="9">
        <v>2014</v>
      </c>
      <c r="D9" s="49">
        <v>41821</v>
      </c>
      <c r="E9" s="50">
        <v>41825</v>
      </c>
      <c r="F9" s="8">
        <v>0</v>
      </c>
      <c r="G9" s="8">
        <v>0</v>
      </c>
      <c r="H9" s="8">
        <f>Tabla413[[#This Row],[Cuota]]-Tabla413[[#This Row],[Valor Pagado ]]</f>
        <v>0</v>
      </c>
      <c r="I9" s="8">
        <f>IF(Tabla413[[#This Row],[Valor Pagado ]]&gt;=Tabla413[[#This Row],[Cuota]],0,Tabla413[[#This Row],[Cuota]]*$M$3)</f>
        <v>0</v>
      </c>
      <c r="J9" s="8">
        <f>Tabla413[[#This Row],[Subsaldo]]+Tabla413[[#This Row],[Interes]]</f>
        <v>0</v>
      </c>
    </row>
    <row r="10" spans="3:13" ht="14">
      <c r="C10" s="9">
        <v>2014</v>
      </c>
      <c r="D10" s="49">
        <v>41852</v>
      </c>
      <c r="E10" s="50">
        <v>41856</v>
      </c>
      <c r="F10" s="8">
        <v>0</v>
      </c>
      <c r="G10" s="8">
        <v>0</v>
      </c>
      <c r="H10" s="8">
        <f>Tabla413[[#This Row],[Cuota]]-Tabla413[[#This Row],[Valor Pagado ]]</f>
        <v>0</v>
      </c>
      <c r="I10" s="8">
        <f>IF(Tabla413[[#This Row],[Valor Pagado ]]&gt;=Tabla413[[#This Row],[Cuota]],0,Tabla413[[#This Row],[Cuota]]*$M$3)</f>
        <v>0</v>
      </c>
      <c r="J10" s="8">
        <f>Tabla413[[#This Row],[Subsaldo]]+Tabla413[[#This Row],[Interes]]</f>
        <v>0</v>
      </c>
    </row>
    <row r="11" spans="3:13" ht="14">
      <c r="C11" s="9">
        <v>2014</v>
      </c>
      <c r="D11" s="49">
        <v>41883</v>
      </c>
      <c r="E11" s="50">
        <v>41887</v>
      </c>
      <c r="F11" s="8">
        <v>0</v>
      </c>
      <c r="G11" s="8">
        <v>0</v>
      </c>
      <c r="H11" s="8">
        <f>Tabla413[[#This Row],[Cuota]]-Tabla413[[#This Row],[Valor Pagado ]]</f>
        <v>0</v>
      </c>
      <c r="I11" s="8">
        <f>IF(Tabla413[[#This Row],[Valor Pagado ]]&gt;=Tabla413[[#This Row],[Cuota]],0,Tabla413[[#This Row],[Cuota]]*$M$3)</f>
        <v>0</v>
      </c>
      <c r="J11" s="8">
        <f>Tabla413[[#This Row],[Subsaldo]]+Tabla413[[#This Row],[Interes]]</f>
        <v>0</v>
      </c>
    </row>
    <row r="12" spans="3:13" ht="14">
      <c r="C12" s="9">
        <v>2014</v>
      </c>
      <c r="D12" s="49">
        <v>41913</v>
      </c>
      <c r="E12" s="50">
        <v>41917</v>
      </c>
      <c r="F12" s="8">
        <v>0</v>
      </c>
      <c r="G12" s="8">
        <v>0</v>
      </c>
      <c r="H12" s="8">
        <f>Tabla413[[#This Row],[Cuota]]-Tabla413[[#This Row],[Valor Pagado ]]</f>
        <v>0</v>
      </c>
      <c r="I12" s="8">
        <f>IF(Tabla413[[#This Row],[Valor Pagado ]]&gt;=Tabla413[[#This Row],[Cuota]],0,Tabla413[[#This Row],[Cuota]]*$M$3)</f>
        <v>0</v>
      </c>
      <c r="J12" s="8">
        <f>Tabla413[[#This Row],[Subsaldo]]+Tabla413[[#This Row],[Interes]]</f>
        <v>0</v>
      </c>
    </row>
    <row r="13" spans="3:13" ht="14">
      <c r="C13" s="9">
        <v>2014</v>
      </c>
      <c r="D13" s="49">
        <v>41944</v>
      </c>
      <c r="E13" s="50">
        <v>41948</v>
      </c>
      <c r="F13" s="8">
        <v>0</v>
      </c>
      <c r="G13" s="8">
        <v>0</v>
      </c>
      <c r="H13" s="8">
        <f>Tabla413[[#This Row],[Cuota]]-Tabla413[[#This Row],[Valor Pagado ]]</f>
        <v>0</v>
      </c>
      <c r="I13" s="8">
        <f>IF(Tabla413[[#This Row],[Valor Pagado ]]&gt;=Tabla413[[#This Row],[Cuota]],0,Tabla413[[#This Row],[Cuota]]*$M$3)</f>
        <v>0</v>
      </c>
      <c r="J13" s="8">
        <f>Tabla413[[#This Row],[Subsaldo]]+Tabla413[[#This Row],[Interes]]</f>
        <v>0</v>
      </c>
    </row>
    <row r="14" spans="3:13" ht="14">
      <c r="C14" s="9">
        <v>2014</v>
      </c>
      <c r="D14" s="49">
        <v>41974</v>
      </c>
      <c r="E14" s="50">
        <v>41978</v>
      </c>
      <c r="F14" s="8">
        <f>VLOOKUP(C14,Tabla1[],4,FALSE)</f>
        <v>200000</v>
      </c>
      <c r="G14" s="8">
        <v>0</v>
      </c>
      <c r="H14" s="8">
        <f>Tabla413[[#This Row],[Cuota]]-Tabla413[[#This Row],[Valor Pagado ]]</f>
        <v>200000</v>
      </c>
      <c r="I14" s="8">
        <f>IF(Tabla413[[#This Row],[Valor Pagado ]]&gt;=Tabla413[[#This Row],[Cuota]],0,Tabla413[[#This Row],[Cuota]]*$M$3)</f>
        <v>1000</v>
      </c>
      <c r="J14" s="8">
        <f>Tabla413[[#This Row],[Subsaldo]]+Tabla413[[#This Row],[Interes]]</f>
        <v>201000</v>
      </c>
    </row>
    <row r="15" spans="3:13" ht="14">
      <c r="C15" s="9" t="s">
        <v>0</v>
      </c>
      <c r="H15" s="8">
        <f>SUM(Tabla413[Subsaldo])</f>
        <v>200000</v>
      </c>
      <c r="I15" s="8" t="s">
        <v>14</v>
      </c>
      <c r="J15" s="8">
        <f>Tabla413[[#Totals],[Subsaldo]]+Tabla413[[#Totals],[Interes]]</f>
        <v>263000</v>
      </c>
    </row>
    <row r="16" spans="3:13" ht="14"/>
    <row r="17" spans="3:13" ht="15.5">
      <c r="C17" s="34" t="s">
        <v>12</v>
      </c>
      <c r="D17" s="46" t="s">
        <v>1</v>
      </c>
      <c r="E17" s="47" t="s">
        <v>7</v>
      </c>
      <c r="F17" s="48" t="s">
        <v>8</v>
      </c>
      <c r="G17" s="48" t="s">
        <v>9</v>
      </c>
      <c r="H17" s="48" t="s">
        <v>13</v>
      </c>
      <c r="I17" s="46" t="s">
        <v>11</v>
      </c>
      <c r="J17" s="46" t="s">
        <v>10</v>
      </c>
    </row>
    <row r="18" spans="3:13" ht="14">
      <c r="C18" s="5">
        <v>2015</v>
      </c>
      <c r="D18" s="49">
        <v>42005</v>
      </c>
      <c r="E18" s="50">
        <v>42009</v>
      </c>
      <c r="F18" s="8">
        <f>VLOOKUP(Tabla514[[#This Row],[año]],Tabla1[],4,FALSE)</f>
        <v>209200</v>
      </c>
      <c r="G18" s="8">
        <v>209200</v>
      </c>
      <c r="H18" s="8">
        <f>Tabla514[[#This Row],[Cuota]]-Tabla514[[#This Row],[Valor Pagado ]]</f>
        <v>0</v>
      </c>
      <c r="I18" s="51">
        <f>IF(Tabla514[[#This Row],[Valor Pagado ]]&gt;=Tabla514[[#This Row],[Cuota]],0,Tabla514[[#This Row],[Cuota]]*$M$3)</f>
        <v>0</v>
      </c>
      <c r="J18" s="8">
        <f>Tabla514[[#This Row],[Subsaldo]]+Tabla514[[#This Row],[Interes]]</f>
        <v>0</v>
      </c>
    </row>
    <row r="19" spans="3:13" ht="14">
      <c r="C19" s="5">
        <v>2015</v>
      </c>
      <c r="D19" s="49">
        <v>42036</v>
      </c>
      <c r="E19" s="50">
        <v>42040</v>
      </c>
      <c r="F19" s="8">
        <f>VLOOKUP(Tabla514[[#This Row],[año]],Tabla1[],4,FALSE)</f>
        <v>209200</v>
      </c>
      <c r="G19" s="8">
        <v>0</v>
      </c>
      <c r="H19" s="8">
        <f>Tabla514[[#This Row],[Cuota]]-Tabla514[[#This Row],[Valor Pagado ]]</f>
        <v>209200</v>
      </c>
      <c r="I19" s="51">
        <f>IF(Tabla514[[#This Row],[Valor Pagado ]]&gt;=Tabla514[[#This Row],[Cuota]],0,Tabla514[[#This Row],[Cuota]]*$M$3)</f>
        <v>1046</v>
      </c>
      <c r="J19" s="8">
        <f>Tabla514[[#This Row],[Subsaldo]]+Tabla514[[#This Row],[Interes]]</f>
        <v>210246</v>
      </c>
    </row>
    <row r="20" spans="3:13" ht="14">
      <c r="C20" s="5">
        <v>2015</v>
      </c>
      <c r="D20" s="49">
        <v>42064</v>
      </c>
      <c r="E20" s="50">
        <v>42068</v>
      </c>
      <c r="F20" s="8">
        <f>VLOOKUP(Tabla514[[#This Row],[año]],Tabla1[],4,FALSE)</f>
        <v>209200</v>
      </c>
      <c r="G20" s="8">
        <v>0</v>
      </c>
      <c r="H20" s="8">
        <f>Tabla514[[#This Row],[Cuota]]-Tabla514[[#This Row],[Valor Pagado ]]</f>
        <v>209200</v>
      </c>
      <c r="I20" s="51">
        <f>IF(Tabla514[[#This Row],[Valor Pagado ]]&gt;=Tabla514[[#This Row],[Cuota]],0,Tabla514[[#This Row],[Cuota]]*$M$3)</f>
        <v>1046</v>
      </c>
      <c r="J20" s="8">
        <f>Tabla514[[#This Row],[Subsaldo]]+Tabla514[[#This Row],[Interes]]</f>
        <v>210246</v>
      </c>
    </row>
    <row r="21" spans="3:13" ht="14">
      <c r="C21" s="5">
        <v>2015</v>
      </c>
      <c r="D21" s="49">
        <v>42095</v>
      </c>
      <c r="E21" s="50">
        <v>42099</v>
      </c>
      <c r="F21" s="8">
        <f>VLOOKUP(Tabla514[[#This Row],[año]],Tabla1[],4,FALSE)</f>
        <v>209200</v>
      </c>
      <c r="G21" s="8">
        <v>0</v>
      </c>
      <c r="H21" s="8">
        <f>Tabla514[[#This Row],[Cuota]]-Tabla514[[#This Row],[Valor Pagado ]]</f>
        <v>209200</v>
      </c>
      <c r="I21" s="51">
        <f>IF(Tabla514[[#This Row],[Valor Pagado ]]&gt;=Tabla514[[#This Row],[Cuota]],0,Tabla514[[#This Row],[Cuota]]*$M$3)</f>
        <v>1046</v>
      </c>
      <c r="J21" s="8">
        <f>Tabla514[[#This Row],[Subsaldo]]+Tabla514[[#This Row],[Interes]]</f>
        <v>210246</v>
      </c>
    </row>
    <row r="22" spans="3:13" ht="15.75" customHeight="1">
      <c r="C22" s="5">
        <v>2015</v>
      </c>
      <c r="D22" s="49">
        <v>42125</v>
      </c>
      <c r="E22" s="50">
        <v>42129</v>
      </c>
      <c r="F22" s="8">
        <f>VLOOKUP(Tabla514[[#This Row],[año]],Tabla1[],4,FALSE)</f>
        <v>209200</v>
      </c>
      <c r="G22" s="8">
        <v>209200</v>
      </c>
      <c r="H22" s="8">
        <f>Tabla514[[#This Row],[Cuota]]-Tabla514[[#This Row],[Valor Pagado ]]</f>
        <v>0</v>
      </c>
      <c r="I22" s="51">
        <f>IF(Tabla514[[#This Row],[Valor Pagado ]]&gt;=Tabla514[[#This Row],[Cuota]],0,Tabla514[[#This Row],[Cuota]]*$M$3)</f>
        <v>0</v>
      </c>
      <c r="J22" s="8">
        <f>Tabla514[[#This Row],[Subsaldo]]+Tabla514[[#This Row],[Interes]]</f>
        <v>0</v>
      </c>
    </row>
    <row r="23" spans="3:13" ht="15.75" customHeight="1">
      <c r="C23" s="5">
        <v>2015</v>
      </c>
      <c r="D23" s="49">
        <v>42156</v>
      </c>
      <c r="E23" s="50">
        <v>42160</v>
      </c>
      <c r="F23" s="8">
        <f>VLOOKUP(Tabla514[[#This Row],[año]],Tabla1[],4,FALSE)</f>
        <v>209200</v>
      </c>
      <c r="G23" s="8">
        <v>0</v>
      </c>
      <c r="H23" s="8">
        <f>Tabla514[[#This Row],[Cuota]]-Tabla514[[#This Row],[Valor Pagado ]]</f>
        <v>209200</v>
      </c>
      <c r="I23" s="51">
        <f>IF(Tabla514[[#This Row],[Valor Pagado ]]&gt;=Tabla514[[#This Row],[Cuota]],0,Tabla514[[#This Row],[Cuota]]*$M$3)</f>
        <v>1046</v>
      </c>
      <c r="J23" s="8">
        <f>Tabla514[[#This Row],[Subsaldo]]+Tabla514[[#This Row],[Interes]]</f>
        <v>210246</v>
      </c>
    </row>
    <row r="24" spans="3:13" ht="15.75" customHeight="1">
      <c r="C24" s="5">
        <v>2015</v>
      </c>
      <c r="D24" s="49">
        <v>42186</v>
      </c>
      <c r="E24" s="50">
        <v>42190</v>
      </c>
      <c r="F24" s="8">
        <f>VLOOKUP(Tabla514[[#This Row],[año]],Tabla1[],4,FALSE)</f>
        <v>209200</v>
      </c>
      <c r="G24" s="8">
        <v>0</v>
      </c>
      <c r="H24" s="8">
        <f>Tabla514[[#This Row],[Cuota]]-Tabla514[[#This Row],[Valor Pagado ]]</f>
        <v>209200</v>
      </c>
      <c r="I24" s="51">
        <f>IF(Tabla514[[#This Row],[Valor Pagado ]]&gt;=Tabla514[[#This Row],[Cuota]],0,Tabla514[[#This Row],[Cuota]]*$M$3)</f>
        <v>1046</v>
      </c>
      <c r="J24" s="8">
        <f>Tabla514[[#This Row],[Subsaldo]]+Tabla514[[#This Row],[Interes]]</f>
        <v>210246</v>
      </c>
    </row>
    <row r="25" spans="3:13" ht="15.75" customHeight="1">
      <c r="C25" s="5">
        <v>2015</v>
      </c>
      <c r="D25" s="49">
        <v>42217</v>
      </c>
      <c r="E25" s="50">
        <v>42221</v>
      </c>
      <c r="F25" s="8">
        <f>VLOOKUP(Tabla514[[#This Row],[año]],Tabla1[],4,FALSE)</f>
        <v>209200</v>
      </c>
      <c r="G25" s="8">
        <v>0</v>
      </c>
      <c r="H25" s="8">
        <f>Tabla514[[#This Row],[Cuota]]-Tabla514[[#This Row],[Valor Pagado ]]</f>
        <v>209200</v>
      </c>
      <c r="I25" s="51">
        <f>IF(Tabla514[[#This Row],[Valor Pagado ]]&gt;=Tabla514[[#This Row],[Cuota]],0,Tabla514[[#This Row],[Cuota]]*$M$3)</f>
        <v>1046</v>
      </c>
      <c r="J25" s="8">
        <f>Tabla514[[#This Row],[Subsaldo]]+Tabla514[[#This Row],[Interes]]</f>
        <v>210246</v>
      </c>
    </row>
    <row r="26" spans="3:13" ht="15.75" customHeight="1">
      <c r="C26" s="5">
        <v>2015</v>
      </c>
      <c r="D26" s="49">
        <v>42248</v>
      </c>
      <c r="E26" s="50">
        <v>42252</v>
      </c>
      <c r="F26" s="8">
        <f>VLOOKUP(Tabla514[[#This Row],[año]],Tabla1[],4,FALSE)</f>
        <v>209200</v>
      </c>
      <c r="G26" s="8">
        <v>209200</v>
      </c>
      <c r="H26" s="8">
        <f>Tabla514[[#This Row],[Cuota]]-Tabla514[[#This Row],[Valor Pagado ]]</f>
        <v>0</v>
      </c>
      <c r="I26" s="51">
        <f>IF(Tabla514[[#This Row],[Valor Pagado ]]&gt;=Tabla514[[#This Row],[Cuota]],0,Tabla514[[#This Row],[Cuota]]*$M$3)</f>
        <v>0</v>
      </c>
      <c r="J26" s="8">
        <f>Tabla514[[#This Row],[Subsaldo]]+Tabla514[[#This Row],[Interes]]</f>
        <v>0</v>
      </c>
    </row>
    <row r="27" spans="3:13" ht="15.75" customHeight="1">
      <c r="C27" s="5">
        <v>2015</v>
      </c>
      <c r="D27" s="49">
        <v>42278</v>
      </c>
      <c r="E27" s="50">
        <v>42282</v>
      </c>
      <c r="F27" s="8">
        <f>VLOOKUP(Tabla514[[#This Row],[año]],Tabla1[],4,FALSE)</f>
        <v>209200</v>
      </c>
      <c r="G27" s="8">
        <v>209200</v>
      </c>
      <c r="H27" s="8">
        <f>Tabla514[[#This Row],[Cuota]]-Tabla514[[#This Row],[Valor Pagado ]]</f>
        <v>0</v>
      </c>
      <c r="I27" s="51">
        <f>IF(Tabla514[[#This Row],[Valor Pagado ]]&gt;=Tabla514[[#This Row],[Cuota]],0,Tabla514[[#This Row],[Cuota]]*$M$3)</f>
        <v>0</v>
      </c>
      <c r="J27" s="8">
        <f>Tabla514[[#This Row],[Subsaldo]]+Tabla514[[#This Row],[Interes]]</f>
        <v>0</v>
      </c>
    </row>
    <row r="28" spans="3:13" ht="15.75" customHeight="1">
      <c r="C28" s="5">
        <v>2015</v>
      </c>
      <c r="D28" s="49">
        <v>42309</v>
      </c>
      <c r="E28" s="50">
        <v>42313</v>
      </c>
      <c r="F28" s="8">
        <f>VLOOKUP(Tabla514[[#This Row],[año]],Tabla1[],4,FALSE)</f>
        <v>209200</v>
      </c>
      <c r="G28" s="8">
        <v>0</v>
      </c>
      <c r="H28" s="8">
        <f>Tabla514[[#This Row],[Cuota]]-Tabla514[[#This Row],[Valor Pagado ]]</f>
        <v>209200</v>
      </c>
      <c r="I28" s="51">
        <f>IF(Tabla514[[#This Row],[Valor Pagado ]]&gt;=Tabla514[[#This Row],[Cuota]],0,Tabla514[[#This Row],[Cuota]]*$M$3)</f>
        <v>1046</v>
      </c>
      <c r="J28" s="8">
        <f>Tabla514[[#This Row],[Subsaldo]]+Tabla514[[#This Row],[Interes]]</f>
        <v>210246</v>
      </c>
    </row>
    <row r="29" spans="3:13" ht="15.75" customHeight="1">
      <c r="C29" s="5">
        <v>2015</v>
      </c>
      <c r="D29" s="49">
        <v>42339</v>
      </c>
      <c r="E29" s="50">
        <v>42343</v>
      </c>
      <c r="F29" s="8">
        <f>VLOOKUP(Tabla514[[#This Row],[año]],Tabla1[],4,FALSE)</f>
        <v>209200</v>
      </c>
      <c r="G29" s="8">
        <v>0</v>
      </c>
      <c r="H29" s="8">
        <f>Tabla514[[#This Row],[Cuota]]-Tabla514[[#This Row],[Valor Pagado ]]</f>
        <v>209200</v>
      </c>
      <c r="I29" s="51">
        <f>IF(Tabla514[[#This Row],[Valor Pagado ]]&gt;=Tabla514[[#This Row],[Cuota]],0,Tabla514[[#This Row],[Cuota]]*$M$3)</f>
        <v>1046</v>
      </c>
      <c r="J29" s="8">
        <f>Tabla514[[#This Row],[Subsaldo]]+Tabla514[[#This Row],[Interes]]</f>
        <v>210246</v>
      </c>
    </row>
    <row r="30" spans="3:13" ht="15.75" customHeight="1">
      <c r="C30" s="9" t="s">
        <v>0</v>
      </c>
      <c r="H30" s="8">
        <f>SUM(Tabla514[Subsaldo])</f>
        <v>1673600</v>
      </c>
      <c r="I30" s="51">
        <f>(Tabla514[[#Totals],[Subsaldo]]*(M3*COUNTIF(Tabla514[Subsaldo],"&gt;0")))+(Tabla413[[#Totals],[Interes]]+Tabla413[[#Totals],[Interes]]*M4)</f>
        <v>133724</v>
      </c>
      <c r="J30" s="8">
        <f>Tabla514[[#Totals],[Subsaldo]]+Tabla514[[#Totals],[Interes]]</f>
        <v>1807324</v>
      </c>
      <c r="L30" s="8"/>
      <c r="M30" s="8"/>
    </row>
    <row r="31" spans="3:13" ht="15.75" customHeight="1"/>
    <row r="32" spans="3:13" ht="15.75" customHeight="1">
      <c r="C32" s="34" t="s">
        <v>12</v>
      </c>
      <c r="D32" s="46" t="s">
        <v>1</v>
      </c>
      <c r="E32" s="47" t="s">
        <v>7</v>
      </c>
      <c r="F32" s="48" t="s">
        <v>8</v>
      </c>
      <c r="G32" s="48" t="s">
        <v>9</v>
      </c>
      <c r="H32" s="48" t="s">
        <v>13</v>
      </c>
      <c r="I32" s="46" t="s">
        <v>11</v>
      </c>
      <c r="J32" s="46" t="s">
        <v>10</v>
      </c>
    </row>
    <row r="33" spans="3:13" ht="15.75" customHeight="1">
      <c r="C33" s="5">
        <v>2016</v>
      </c>
      <c r="D33" s="49">
        <v>42370</v>
      </c>
      <c r="E33" s="50">
        <v>42374</v>
      </c>
      <c r="F33" s="8">
        <f>VLOOKUP(Tabla615[[#This Row],[año]],Tabla1[],4,FALSE)</f>
        <v>223844</v>
      </c>
      <c r="G33" s="8">
        <v>0</v>
      </c>
      <c r="H33" s="8">
        <f>Tabla615[[#This Row],[Cuota]]-Tabla615[[#This Row],[Valor Pagado ]]</f>
        <v>223844</v>
      </c>
      <c r="I33" s="51">
        <f>IF(Tabla615[[#This Row],[Valor Pagado ]]&gt;=Tabla615[[#This Row],[Cuota]],0,Tabla615[[#This Row],[Cuota]]*$M$3)</f>
        <v>1119.22</v>
      </c>
      <c r="J33" s="8">
        <f>Tabla615[[#This Row],[Subsaldo]]+Tabla615[[#This Row],[Interes]]</f>
        <v>224963.22</v>
      </c>
    </row>
    <row r="34" spans="3:13" ht="15.75" customHeight="1">
      <c r="C34" s="5">
        <v>2016</v>
      </c>
      <c r="D34" s="49">
        <v>42401</v>
      </c>
      <c r="E34" s="50">
        <v>42405</v>
      </c>
      <c r="F34" s="8">
        <f>VLOOKUP(Tabla615[[#This Row],[año]],Tabla1[],4,FALSE)</f>
        <v>223844</v>
      </c>
      <c r="G34" s="8">
        <v>0</v>
      </c>
      <c r="H34" s="8">
        <f>Tabla615[[#This Row],[Cuota]]-Tabla615[[#This Row],[Valor Pagado ]]</f>
        <v>223844</v>
      </c>
      <c r="I34" s="51">
        <f>IF(Tabla615[[#This Row],[Valor Pagado ]]&gt;=Tabla615[[#This Row],[Cuota]],0,Tabla615[[#This Row],[Cuota]]*$M$3)</f>
        <v>1119.22</v>
      </c>
      <c r="J34" s="8">
        <f>Tabla615[[#This Row],[Subsaldo]]+Tabla615[[#This Row],[Interes]]</f>
        <v>224963.22</v>
      </c>
    </row>
    <row r="35" spans="3:13" ht="15.75" customHeight="1">
      <c r="C35" s="5">
        <v>2016</v>
      </c>
      <c r="D35" s="49">
        <v>42430</v>
      </c>
      <c r="E35" s="50">
        <v>42434</v>
      </c>
      <c r="F35" s="8">
        <f>VLOOKUP(Tabla615[[#This Row],[año]],Tabla1[],4,FALSE)</f>
        <v>223844</v>
      </c>
      <c r="G35" s="8">
        <v>0</v>
      </c>
      <c r="H35" s="8">
        <f>Tabla615[[#This Row],[Cuota]]-Tabla615[[#This Row],[Valor Pagado ]]</f>
        <v>223844</v>
      </c>
      <c r="I35" s="51">
        <f>IF(Tabla615[[#This Row],[Valor Pagado ]]&gt;=Tabla615[[#This Row],[Cuota]],0,Tabla615[[#This Row],[Cuota]]*$M$3)</f>
        <v>1119.22</v>
      </c>
      <c r="J35" s="8">
        <f>Tabla615[[#This Row],[Subsaldo]]+Tabla615[[#This Row],[Interes]]</f>
        <v>224963.22</v>
      </c>
    </row>
    <row r="36" spans="3:13" ht="15.75" customHeight="1">
      <c r="C36" s="5">
        <v>2016</v>
      </c>
      <c r="D36" s="49">
        <v>42461</v>
      </c>
      <c r="E36" s="50">
        <v>42465</v>
      </c>
      <c r="F36" s="8">
        <f>VLOOKUP(Tabla615[[#This Row],[año]],Tabla1[],4,FALSE)</f>
        <v>223844</v>
      </c>
      <c r="G36" s="8">
        <v>0</v>
      </c>
      <c r="H36" s="8">
        <f>Tabla615[[#This Row],[Cuota]]-Tabla615[[#This Row],[Valor Pagado ]]</f>
        <v>223844</v>
      </c>
      <c r="I36" s="51">
        <f>IF(Tabla615[[#This Row],[Valor Pagado ]]&gt;=Tabla615[[#This Row],[Cuota]],0,Tabla615[[#This Row],[Cuota]]*$M$3)</f>
        <v>1119.22</v>
      </c>
      <c r="J36" s="8">
        <f>Tabla615[[#This Row],[Subsaldo]]+Tabla615[[#This Row],[Interes]]</f>
        <v>224963.22</v>
      </c>
    </row>
    <row r="37" spans="3:13" ht="15.75" customHeight="1">
      <c r="C37" s="5">
        <v>2016</v>
      </c>
      <c r="D37" s="49">
        <v>42491</v>
      </c>
      <c r="E37" s="50">
        <v>42495</v>
      </c>
      <c r="F37" s="8">
        <f>VLOOKUP(Tabla615[[#This Row],[año]],Tabla1[],4,FALSE)</f>
        <v>223844</v>
      </c>
      <c r="G37" s="8">
        <v>0</v>
      </c>
      <c r="H37" s="8">
        <f>Tabla615[[#This Row],[Cuota]]-Tabla615[[#This Row],[Valor Pagado ]]</f>
        <v>223844</v>
      </c>
      <c r="I37" s="51">
        <f>IF(Tabla615[[#This Row],[Valor Pagado ]]&gt;=Tabla615[[#This Row],[Cuota]],0,Tabla615[[#This Row],[Cuota]]*$M$3)</f>
        <v>1119.22</v>
      </c>
      <c r="J37" s="8">
        <f>Tabla615[[#This Row],[Subsaldo]]+Tabla615[[#This Row],[Interes]]</f>
        <v>224963.22</v>
      </c>
    </row>
    <row r="38" spans="3:13" ht="15.75" customHeight="1">
      <c r="C38" s="5">
        <v>2016</v>
      </c>
      <c r="D38" s="49">
        <v>42522</v>
      </c>
      <c r="E38" s="50">
        <v>42526</v>
      </c>
      <c r="F38" s="8">
        <f>VLOOKUP(Tabla615[[#This Row],[año]],Tabla1[],4,FALSE)</f>
        <v>223844</v>
      </c>
      <c r="G38" s="8">
        <v>0</v>
      </c>
      <c r="H38" s="8">
        <f>Tabla615[[#This Row],[Cuota]]-Tabla615[[#This Row],[Valor Pagado ]]</f>
        <v>223844</v>
      </c>
      <c r="I38" s="51">
        <f>IF(Tabla615[[#This Row],[Valor Pagado ]]&gt;=Tabla615[[#This Row],[Cuota]],0,Tabla615[[#This Row],[Cuota]]*$M$3)</f>
        <v>1119.22</v>
      </c>
      <c r="J38" s="8">
        <f>Tabla615[[#This Row],[Subsaldo]]+Tabla615[[#This Row],[Interes]]</f>
        <v>224963.22</v>
      </c>
    </row>
    <row r="39" spans="3:13" ht="15.75" customHeight="1">
      <c r="C39" s="5">
        <v>2016</v>
      </c>
      <c r="D39" s="49">
        <v>42552</v>
      </c>
      <c r="E39" s="50">
        <v>42556</v>
      </c>
      <c r="F39" s="8">
        <f>VLOOKUP(Tabla615[[#This Row],[año]],Tabla1[],4,FALSE)</f>
        <v>223844</v>
      </c>
      <c r="G39" s="8">
        <v>0</v>
      </c>
      <c r="H39" s="8">
        <f>Tabla615[[#This Row],[Cuota]]-Tabla615[[#This Row],[Valor Pagado ]]</f>
        <v>223844</v>
      </c>
      <c r="I39" s="51">
        <f>IF(Tabla615[[#This Row],[Valor Pagado ]]&gt;=Tabla615[[#This Row],[Cuota]],0,Tabla615[[#This Row],[Cuota]]*$M$3)</f>
        <v>1119.22</v>
      </c>
      <c r="J39" s="8">
        <f>Tabla615[[#This Row],[Subsaldo]]+Tabla615[[#This Row],[Interes]]</f>
        <v>224963.22</v>
      </c>
    </row>
    <row r="40" spans="3:13" ht="15.75" customHeight="1">
      <c r="C40" s="5">
        <v>2016</v>
      </c>
      <c r="D40" s="49">
        <v>42583</v>
      </c>
      <c r="E40" s="50">
        <v>42587</v>
      </c>
      <c r="F40" s="8">
        <f>VLOOKUP(Tabla615[[#This Row],[año]],Tabla1[],4,FALSE)</f>
        <v>223844</v>
      </c>
      <c r="G40" s="8">
        <v>0</v>
      </c>
      <c r="H40" s="8">
        <f>Tabla615[[#This Row],[Cuota]]-Tabla615[[#This Row],[Valor Pagado ]]</f>
        <v>223844</v>
      </c>
      <c r="I40" s="51">
        <f>IF(Tabla615[[#This Row],[Valor Pagado ]]&gt;=Tabla615[[#This Row],[Cuota]],0,Tabla615[[#This Row],[Cuota]]*$M$3)</f>
        <v>1119.22</v>
      </c>
      <c r="J40" s="8">
        <f>Tabla615[[#This Row],[Subsaldo]]+Tabla615[[#This Row],[Interes]]</f>
        <v>224963.22</v>
      </c>
    </row>
    <row r="41" spans="3:13" ht="15.75" customHeight="1">
      <c r="C41" s="5">
        <v>2016</v>
      </c>
      <c r="D41" s="49">
        <v>42614</v>
      </c>
      <c r="E41" s="50">
        <v>42618</v>
      </c>
      <c r="F41" s="8">
        <f>VLOOKUP(Tabla615[[#This Row],[año]],Tabla1[],4,FALSE)</f>
        <v>223844</v>
      </c>
      <c r="G41" s="8">
        <v>0</v>
      </c>
      <c r="H41" s="8">
        <f>Tabla615[[#This Row],[Cuota]]-Tabla615[[#This Row],[Valor Pagado ]]</f>
        <v>223844</v>
      </c>
      <c r="I41" s="51">
        <f>IF(Tabla615[[#This Row],[Valor Pagado ]]&gt;=Tabla615[[#This Row],[Cuota]],0,Tabla615[[#This Row],[Cuota]]*$M$3)</f>
        <v>1119.22</v>
      </c>
      <c r="J41" s="8">
        <f>Tabla615[[#This Row],[Subsaldo]]+Tabla615[[#This Row],[Interes]]</f>
        <v>224963.22</v>
      </c>
    </row>
    <row r="42" spans="3:13" ht="15.75" customHeight="1">
      <c r="C42" s="5">
        <v>2016</v>
      </c>
      <c r="D42" s="49">
        <v>42644</v>
      </c>
      <c r="E42" s="50">
        <v>42648</v>
      </c>
      <c r="F42" s="8">
        <f>VLOOKUP(Tabla615[[#This Row],[año]],Tabla1[],4,FALSE)</f>
        <v>223844</v>
      </c>
      <c r="G42" s="8">
        <v>0</v>
      </c>
      <c r="H42" s="8">
        <f>Tabla615[[#This Row],[Cuota]]-Tabla615[[#This Row],[Valor Pagado ]]</f>
        <v>223844</v>
      </c>
      <c r="I42" s="51">
        <f>IF(Tabla615[[#This Row],[Valor Pagado ]]&gt;=Tabla615[[#This Row],[Cuota]],0,Tabla615[[#This Row],[Cuota]]*$M$3)</f>
        <v>1119.22</v>
      </c>
      <c r="J42" s="8">
        <f>Tabla615[[#This Row],[Subsaldo]]+Tabla615[[#This Row],[Interes]]</f>
        <v>224963.22</v>
      </c>
    </row>
    <row r="43" spans="3:13" ht="15.75" customHeight="1">
      <c r="C43" s="5">
        <v>2016</v>
      </c>
      <c r="D43" s="49">
        <v>42675</v>
      </c>
      <c r="E43" s="50">
        <v>42679</v>
      </c>
      <c r="F43" s="8">
        <f>VLOOKUP(Tabla615[[#This Row],[año]],Tabla1[],4,FALSE)</f>
        <v>223844</v>
      </c>
      <c r="G43" s="8">
        <v>0</v>
      </c>
      <c r="H43" s="8">
        <f>Tabla615[[#This Row],[Cuota]]-Tabla615[[#This Row],[Valor Pagado ]]</f>
        <v>223844</v>
      </c>
      <c r="I43" s="51">
        <f>IF(Tabla615[[#This Row],[Valor Pagado ]]&gt;=Tabla615[[#This Row],[Cuota]],0,Tabla615[[#This Row],[Cuota]]*$M$3)</f>
        <v>1119.22</v>
      </c>
      <c r="J43" s="8">
        <f>Tabla615[[#This Row],[Subsaldo]]+Tabla615[[#This Row],[Interes]]</f>
        <v>224963.22</v>
      </c>
    </row>
    <row r="44" spans="3:13" ht="15.75" customHeight="1">
      <c r="C44" s="5">
        <v>2016</v>
      </c>
      <c r="D44" s="49">
        <v>42705</v>
      </c>
      <c r="E44" s="50">
        <v>42709</v>
      </c>
      <c r="F44" s="8">
        <f>VLOOKUP(Tabla615[[#This Row],[año]],Tabla1[],4,FALSE)</f>
        <v>223844</v>
      </c>
      <c r="G44" s="8">
        <v>223844</v>
      </c>
      <c r="H44" s="8">
        <f>Tabla615[[#This Row],[Cuota]]-Tabla615[[#This Row],[Valor Pagado ]]</f>
        <v>0</v>
      </c>
      <c r="I44" s="51">
        <f>IF(Tabla615[[#This Row],[Valor Pagado ]]&gt;=Tabla615[[#This Row],[Cuota]],0,Tabla615[[#This Row],[Cuota]]*$M$3)</f>
        <v>0</v>
      </c>
      <c r="J44" s="8">
        <f>Tabla615[[#This Row],[Subsaldo]]+Tabla615[[#This Row],[Interes]]</f>
        <v>0</v>
      </c>
    </row>
    <row r="45" spans="3:13" ht="15.75" customHeight="1">
      <c r="C45" s="9" t="s">
        <v>0</v>
      </c>
      <c r="H45" s="8">
        <f>SUM(Tabla615[Subsaldo])</f>
        <v>2462284</v>
      </c>
      <c r="I45" s="51">
        <f>(Tabla615[[#Totals],[Subsaldo]]*(M3*COUNTIF(Tabla615[Subsaldo],"&gt;0")))+(Tabla514[[#Totals],[Interes]]+Tabla514[[#Totals],[Interes]]*M4)</f>
        <v>277173.06</v>
      </c>
      <c r="J45" s="8">
        <f>Tabla615[[#Totals],[Subsaldo]]+Tabla615[[#Totals],[Interes]]</f>
        <v>2739457.06</v>
      </c>
      <c r="L45" s="8"/>
      <c r="M45" s="8"/>
    </row>
    <row r="46" spans="3:13" ht="15.75" customHeight="1"/>
    <row r="47" spans="3:13" ht="15.75" customHeight="1">
      <c r="C47" s="34" t="s">
        <v>12</v>
      </c>
      <c r="D47" s="46" t="s">
        <v>1</v>
      </c>
      <c r="E47" s="47" t="s">
        <v>7</v>
      </c>
      <c r="F47" s="48" t="s">
        <v>8</v>
      </c>
      <c r="G47" s="48" t="s">
        <v>9</v>
      </c>
      <c r="H47" s="48" t="s">
        <v>13</v>
      </c>
      <c r="I47" s="46" t="s">
        <v>11</v>
      </c>
      <c r="J47" s="46" t="s">
        <v>10</v>
      </c>
    </row>
    <row r="48" spans="3:13" ht="15.75" customHeight="1">
      <c r="C48" s="5">
        <v>2017</v>
      </c>
      <c r="D48" s="49">
        <v>42736</v>
      </c>
      <c r="E48" s="50">
        <v>42740</v>
      </c>
      <c r="F48" s="8">
        <f>VLOOKUP(Tabla716[[#This Row],[año]],Tabla1[],4,FALSE)</f>
        <v>239513.08000000002</v>
      </c>
      <c r="G48" s="8">
        <v>0</v>
      </c>
      <c r="H48" s="8">
        <f>Tabla716[[#This Row],[Cuota]]-Tabla716[[#This Row],[Valor Pagado ]]</f>
        <v>239513.08000000002</v>
      </c>
      <c r="I48" s="51">
        <f>IF(Tabla716[[#This Row],[Valor Pagado ]]&gt;=Tabla716[[#This Row],[Cuota]],0,Tabla716[[#This Row],[Cuota]]*$M$3)</f>
        <v>1197.5654000000002</v>
      </c>
      <c r="J48" s="8">
        <f>Tabla716[[#This Row],[Subsaldo]]+Tabla716[[#This Row],[Interes]]</f>
        <v>240710.64540000001</v>
      </c>
    </row>
    <row r="49" spans="3:12" ht="15.75" customHeight="1">
      <c r="C49" s="5">
        <v>2017</v>
      </c>
      <c r="D49" s="49">
        <v>42767</v>
      </c>
      <c r="E49" s="50">
        <v>42771</v>
      </c>
      <c r="F49" s="8">
        <f>VLOOKUP(Tabla716[[#This Row],[año]],Tabla1[],4,FALSE)</f>
        <v>239513.08000000002</v>
      </c>
      <c r="G49" s="8">
        <v>0</v>
      </c>
      <c r="H49" s="8">
        <f>Tabla716[[#This Row],[Cuota]]-Tabla716[[#This Row],[Valor Pagado ]]</f>
        <v>239513.08000000002</v>
      </c>
      <c r="I49" s="51">
        <f>IF(Tabla716[[#This Row],[Valor Pagado ]]&gt;=Tabla716[[#This Row],[Cuota]],0,Tabla716[[#This Row],[Cuota]]*$M$3)</f>
        <v>1197.5654000000002</v>
      </c>
      <c r="J49" s="8">
        <f>Tabla716[[#This Row],[Subsaldo]]+Tabla716[[#This Row],[Interes]]</f>
        <v>240710.64540000001</v>
      </c>
    </row>
    <row r="50" spans="3:12" ht="15.75" customHeight="1">
      <c r="C50" s="5">
        <v>2017</v>
      </c>
      <c r="D50" s="49">
        <v>42795</v>
      </c>
      <c r="E50" s="50">
        <v>42799</v>
      </c>
      <c r="F50" s="8">
        <f>VLOOKUP(Tabla716[[#This Row],[año]],Tabla1[],4,FALSE)</f>
        <v>239513.08000000002</v>
      </c>
      <c r="G50" s="8">
        <v>0</v>
      </c>
      <c r="H50" s="8">
        <f>Tabla716[[#This Row],[Cuota]]-Tabla716[[#This Row],[Valor Pagado ]]</f>
        <v>239513.08000000002</v>
      </c>
      <c r="I50" s="51">
        <f>IF(Tabla716[[#This Row],[Valor Pagado ]]&gt;=Tabla716[[#This Row],[Cuota]],0,Tabla716[[#This Row],[Cuota]]*$M$3)</f>
        <v>1197.5654000000002</v>
      </c>
      <c r="J50" s="8">
        <f>Tabla716[[#This Row],[Subsaldo]]+Tabla716[[#This Row],[Interes]]</f>
        <v>240710.64540000001</v>
      </c>
    </row>
    <row r="51" spans="3:12" ht="15.75" customHeight="1">
      <c r="C51" s="5">
        <v>2017</v>
      </c>
      <c r="D51" s="49">
        <v>42826</v>
      </c>
      <c r="E51" s="50">
        <v>42830</v>
      </c>
      <c r="F51" s="8">
        <f>VLOOKUP(Tabla716[[#This Row],[año]],Tabla1[],4,FALSE)</f>
        <v>239513.08000000002</v>
      </c>
      <c r="G51" s="8">
        <v>0</v>
      </c>
      <c r="H51" s="8">
        <f>Tabla716[[#This Row],[Cuota]]-Tabla716[[#This Row],[Valor Pagado ]]</f>
        <v>239513.08000000002</v>
      </c>
      <c r="I51" s="51">
        <f>IF(Tabla716[[#This Row],[Valor Pagado ]]&gt;=Tabla716[[#This Row],[Cuota]],0,Tabla716[[#This Row],[Cuota]]*$M$3)</f>
        <v>1197.5654000000002</v>
      </c>
      <c r="J51" s="8">
        <f>Tabla716[[#This Row],[Subsaldo]]+Tabla716[[#This Row],[Interes]]</f>
        <v>240710.64540000001</v>
      </c>
    </row>
    <row r="52" spans="3:12" ht="15.75" customHeight="1">
      <c r="C52" s="5">
        <v>2017</v>
      </c>
      <c r="D52" s="49">
        <v>42856</v>
      </c>
      <c r="E52" s="50">
        <v>42860</v>
      </c>
      <c r="F52" s="8">
        <f>VLOOKUP(Tabla716[[#This Row],[año]],Tabla1[],4,FALSE)</f>
        <v>239513.08000000002</v>
      </c>
      <c r="G52" s="8">
        <v>0</v>
      </c>
      <c r="H52" s="8">
        <f>Tabla716[[#This Row],[Cuota]]-Tabla716[[#This Row],[Valor Pagado ]]</f>
        <v>239513.08000000002</v>
      </c>
      <c r="I52" s="51">
        <f>IF(Tabla716[[#This Row],[Valor Pagado ]]&gt;=Tabla716[[#This Row],[Cuota]],0,Tabla716[[#This Row],[Cuota]]*$M$3)</f>
        <v>1197.5654000000002</v>
      </c>
      <c r="J52" s="8">
        <f>Tabla716[[#This Row],[Subsaldo]]+Tabla716[[#This Row],[Interes]]</f>
        <v>240710.64540000001</v>
      </c>
    </row>
    <row r="53" spans="3:12" ht="15.75" customHeight="1">
      <c r="C53" s="5">
        <v>2017</v>
      </c>
      <c r="D53" s="49">
        <v>42887</v>
      </c>
      <c r="E53" s="50">
        <v>42891</v>
      </c>
      <c r="F53" s="8">
        <f>VLOOKUP(Tabla716[[#This Row],[año]],Tabla1[],4,FALSE)</f>
        <v>239513.08000000002</v>
      </c>
      <c r="G53" s="8">
        <v>0</v>
      </c>
      <c r="H53" s="8">
        <f>Tabla716[[#This Row],[Cuota]]-Tabla716[[#This Row],[Valor Pagado ]]</f>
        <v>239513.08000000002</v>
      </c>
      <c r="I53" s="51">
        <f>IF(Tabla716[[#This Row],[Valor Pagado ]]&gt;=Tabla716[[#This Row],[Cuota]],0,Tabla716[[#This Row],[Cuota]]*$M$3)</f>
        <v>1197.5654000000002</v>
      </c>
      <c r="J53" s="8">
        <f>Tabla716[[#This Row],[Subsaldo]]+Tabla716[[#This Row],[Interes]]</f>
        <v>240710.64540000001</v>
      </c>
    </row>
    <row r="54" spans="3:12" ht="15.75" customHeight="1">
      <c r="C54" s="5">
        <v>2017</v>
      </c>
      <c r="D54" s="49">
        <v>42917</v>
      </c>
      <c r="E54" s="50">
        <v>42921</v>
      </c>
      <c r="F54" s="8">
        <f>VLOOKUP(Tabla716[[#This Row],[año]],Tabla1[],4,FALSE)</f>
        <v>239513.08000000002</v>
      </c>
      <c r="G54" s="8">
        <v>0</v>
      </c>
      <c r="H54" s="8">
        <f>Tabla716[[#This Row],[Cuota]]-Tabla716[[#This Row],[Valor Pagado ]]</f>
        <v>239513.08000000002</v>
      </c>
      <c r="I54" s="51">
        <f>IF(Tabla716[[#This Row],[Valor Pagado ]]&gt;=Tabla716[[#This Row],[Cuota]],0,Tabla716[[#This Row],[Cuota]]*$M$3)</f>
        <v>1197.5654000000002</v>
      </c>
      <c r="J54" s="8">
        <f>Tabla716[[#This Row],[Subsaldo]]+Tabla716[[#This Row],[Interes]]</f>
        <v>240710.64540000001</v>
      </c>
    </row>
    <row r="55" spans="3:12" ht="15.75" customHeight="1">
      <c r="C55" s="5">
        <v>2017</v>
      </c>
      <c r="D55" s="49">
        <v>42948</v>
      </c>
      <c r="E55" s="50">
        <v>42952</v>
      </c>
      <c r="F55" s="8">
        <f>VLOOKUP(Tabla716[[#This Row],[año]],Tabla1[],4,FALSE)</f>
        <v>239513.08000000002</v>
      </c>
      <c r="G55" s="8">
        <v>0</v>
      </c>
      <c r="H55" s="8">
        <f>Tabla716[[#This Row],[Cuota]]-Tabla716[[#This Row],[Valor Pagado ]]</f>
        <v>239513.08000000002</v>
      </c>
      <c r="I55" s="51">
        <f>IF(Tabla716[[#This Row],[Valor Pagado ]]&gt;=Tabla716[[#This Row],[Cuota]],0,Tabla716[[#This Row],[Cuota]]*$M$3)</f>
        <v>1197.5654000000002</v>
      </c>
      <c r="J55" s="8">
        <f>Tabla716[[#This Row],[Subsaldo]]+Tabla716[[#This Row],[Interes]]</f>
        <v>240710.64540000001</v>
      </c>
    </row>
    <row r="56" spans="3:12" ht="15.75" customHeight="1">
      <c r="C56" s="5">
        <v>2017</v>
      </c>
      <c r="D56" s="49">
        <v>42979</v>
      </c>
      <c r="E56" s="50">
        <v>42983</v>
      </c>
      <c r="F56" s="8">
        <f>VLOOKUP(Tabla716[[#This Row],[año]],Tabla1[],4,FALSE)</f>
        <v>239513.08000000002</v>
      </c>
      <c r="G56" s="8">
        <v>239513.08</v>
      </c>
      <c r="H56" s="8">
        <f>Tabla716[[#This Row],[Cuota]]-Tabla716[[#This Row],[Valor Pagado ]]</f>
        <v>0</v>
      </c>
      <c r="I56" s="51">
        <f>IF(Tabla716[[#This Row],[Valor Pagado ]]&gt;=Tabla716[[#This Row],[Cuota]],0,Tabla716[[#This Row],[Cuota]]*$M$3)</f>
        <v>0</v>
      </c>
      <c r="J56" s="8">
        <f>Tabla716[[#This Row],[Subsaldo]]+Tabla716[[#This Row],[Interes]]</f>
        <v>0</v>
      </c>
    </row>
    <row r="57" spans="3:12" ht="15.75" customHeight="1">
      <c r="C57" s="5">
        <v>2017</v>
      </c>
      <c r="D57" s="49">
        <v>43009</v>
      </c>
      <c r="E57" s="50">
        <v>43013</v>
      </c>
      <c r="F57" s="8">
        <f>VLOOKUP(Tabla716[[#This Row],[año]],Tabla1[],4,FALSE)</f>
        <v>239513.08000000002</v>
      </c>
      <c r="G57" s="8">
        <v>0</v>
      </c>
      <c r="H57" s="8">
        <f>Tabla716[[#This Row],[Cuota]]-Tabla716[[#This Row],[Valor Pagado ]]</f>
        <v>239513.08000000002</v>
      </c>
      <c r="I57" s="51">
        <f>IF(Tabla716[[#This Row],[Valor Pagado ]]&gt;=Tabla716[[#This Row],[Cuota]],0,Tabla716[[#This Row],[Cuota]]*$M$3)</f>
        <v>1197.5654000000002</v>
      </c>
      <c r="J57" s="8">
        <f>Tabla716[[#This Row],[Subsaldo]]+Tabla716[[#This Row],[Interes]]</f>
        <v>240710.64540000001</v>
      </c>
    </row>
    <row r="58" spans="3:12" ht="15.75" customHeight="1">
      <c r="C58" s="5">
        <v>2017</v>
      </c>
      <c r="D58" s="49">
        <v>43040</v>
      </c>
      <c r="E58" s="50">
        <v>43044</v>
      </c>
      <c r="F58" s="8">
        <f>VLOOKUP(Tabla716[[#This Row],[año]],Tabla1[],4,FALSE)</f>
        <v>239513.08000000002</v>
      </c>
      <c r="G58" s="8">
        <v>0</v>
      </c>
      <c r="H58" s="8">
        <f>Tabla716[[#This Row],[Cuota]]-Tabla716[[#This Row],[Valor Pagado ]]</f>
        <v>239513.08000000002</v>
      </c>
      <c r="I58" s="51">
        <f>IF(Tabla716[[#This Row],[Valor Pagado ]]&gt;=Tabla716[[#This Row],[Cuota]],0,Tabla716[[#This Row],[Cuota]]*$M$3)</f>
        <v>1197.5654000000002</v>
      </c>
      <c r="J58" s="8">
        <f>Tabla716[[#This Row],[Subsaldo]]+Tabla716[[#This Row],[Interes]]</f>
        <v>240710.64540000001</v>
      </c>
    </row>
    <row r="59" spans="3:12" ht="15.75" customHeight="1">
      <c r="C59" s="5">
        <v>2017</v>
      </c>
      <c r="D59" s="49">
        <v>43070</v>
      </c>
      <c r="E59" s="50">
        <v>43074</v>
      </c>
      <c r="F59" s="8">
        <f>VLOOKUP(Tabla716[[#This Row],[año]],Tabla1[],4,FALSE)</f>
        <v>239513.08000000002</v>
      </c>
      <c r="G59" s="8">
        <v>0</v>
      </c>
      <c r="H59" s="8">
        <f>Tabla716[[#This Row],[Cuota]]-Tabla716[[#This Row],[Valor Pagado ]]</f>
        <v>239513.08000000002</v>
      </c>
      <c r="I59" s="51">
        <f>IF(Tabla716[[#This Row],[Valor Pagado ]]&gt;=Tabla716[[#This Row],[Cuota]],0,Tabla716[[#This Row],[Cuota]]*$M$3)</f>
        <v>1197.5654000000002</v>
      </c>
      <c r="J59" s="8">
        <f>Tabla716[[#This Row],[Subsaldo]]+Tabla716[[#This Row],[Interes]]</f>
        <v>240710.64540000001</v>
      </c>
    </row>
    <row r="60" spans="3:12" ht="15.75" customHeight="1">
      <c r="C60" s="9" t="s">
        <v>0</v>
      </c>
      <c r="H60" s="8">
        <f>SUM(Tabla716[Subsaldo])</f>
        <v>2634643.8800000004</v>
      </c>
      <c r="I60" s="51">
        <f>(Tabla716[[#Totals],[Subsaldo]]*(M3*COUNTIF(Tabla716[Subsaldo],"&gt;0")))+(Tabla615[[#Totals],[Interes]]+Tabla615[[#Totals],[Interes]]*M4)</f>
        <v>438708.85700000002</v>
      </c>
      <c r="J60" s="8">
        <f>Tabla716[[#Totals],[Subsaldo]]+Tabla716[[#Totals],[Interes]]</f>
        <v>3073352.7370000002</v>
      </c>
      <c r="L60" s="8"/>
    </row>
    <row r="61" spans="3:12" ht="15.75" customHeight="1"/>
    <row r="62" spans="3:12" ht="15.75" customHeight="1">
      <c r="C62" s="34" t="s">
        <v>12</v>
      </c>
      <c r="D62" s="46" t="s">
        <v>1</v>
      </c>
      <c r="E62" s="47" t="s">
        <v>7</v>
      </c>
      <c r="F62" s="48" t="s">
        <v>8</v>
      </c>
      <c r="G62" s="48" t="s">
        <v>9</v>
      </c>
      <c r="H62" s="48" t="s">
        <v>13</v>
      </c>
      <c r="I62" s="46" t="s">
        <v>11</v>
      </c>
      <c r="J62" s="46" t="s">
        <v>10</v>
      </c>
    </row>
    <row r="63" spans="3:12" ht="15.75" customHeight="1">
      <c r="C63" s="5">
        <v>2018</v>
      </c>
      <c r="D63" s="49">
        <v>43101</v>
      </c>
      <c r="E63" s="50">
        <v>43105</v>
      </c>
      <c r="F63" s="8">
        <f>VLOOKUP(Tabla817[[#This Row],[año]],Tabla1[],4,FALSE)</f>
        <v>253644.35172000001</v>
      </c>
      <c r="G63" s="8">
        <v>0</v>
      </c>
      <c r="H63" s="8">
        <f>Tabla817[[#This Row],[Cuota]]-Tabla817[[#This Row],[Valor Pagado ]]</f>
        <v>253644.35172000001</v>
      </c>
      <c r="I63" s="51">
        <f>IF(Tabla817[[#This Row],[Valor Pagado ]]&gt;=Tabla817[[#This Row],[Cuota]],0,Tabla817[[#This Row],[Cuota]]*$M$3)</f>
        <v>1268.2217586000002</v>
      </c>
      <c r="J63" s="8">
        <f>Tabla817[[#This Row],[Subsaldo]]+Tabla817[[#This Row],[Interes]]</f>
        <v>254912.57347860001</v>
      </c>
    </row>
    <row r="64" spans="3:12" ht="15.75" customHeight="1">
      <c r="C64" s="5">
        <v>2018</v>
      </c>
      <c r="D64" s="49">
        <v>43132</v>
      </c>
      <c r="E64" s="50">
        <v>43136</v>
      </c>
      <c r="F64" s="8">
        <f>VLOOKUP(Tabla817[[#This Row],[año]],Tabla1[],4,FALSE)</f>
        <v>253644.35172000001</v>
      </c>
      <c r="G64" s="8">
        <v>0</v>
      </c>
      <c r="H64" s="8">
        <f>Tabla817[[#This Row],[Cuota]]-Tabla817[[#This Row],[Valor Pagado ]]</f>
        <v>253644.35172000001</v>
      </c>
      <c r="I64" s="51">
        <f>IF(Tabla817[[#This Row],[Valor Pagado ]]&gt;=Tabla817[[#This Row],[Cuota]],0,Tabla817[[#This Row],[Cuota]]*$M$3)</f>
        <v>1268.2217586000002</v>
      </c>
      <c r="J64" s="8">
        <f>Tabla817[[#This Row],[Subsaldo]]+Tabla817[[#This Row],[Interes]]</f>
        <v>254912.57347860001</v>
      </c>
    </row>
    <row r="65" spans="3:10" ht="15.75" customHeight="1">
      <c r="C65" s="5">
        <v>2018</v>
      </c>
      <c r="D65" s="49">
        <v>43160</v>
      </c>
      <c r="E65" s="50">
        <v>43164</v>
      </c>
      <c r="F65" s="8">
        <f>VLOOKUP(Tabla817[[#This Row],[año]],Tabla1[],4,FALSE)</f>
        <v>253644.35172000001</v>
      </c>
      <c r="G65" s="8">
        <v>0</v>
      </c>
      <c r="H65" s="8">
        <f>Tabla817[[#This Row],[Cuota]]-Tabla817[[#This Row],[Valor Pagado ]]</f>
        <v>253644.35172000001</v>
      </c>
      <c r="I65" s="51">
        <f>IF(Tabla817[[#This Row],[Valor Pagado ]]&gt;=Tabla817[[#This Row],[Cuota]],0,Tabla817[[#This Row],[Cuota]]*$M$3)</f>
        <v>1268.2217586000002</v>
      </c>
      <c r="J65" s="8">
        <f>Tabla817[[#This Row],[Subsaldo]]+Tabla817[[#This Row],[Interes]]</f>
        <v>254912.57347860001</v>
      </c>
    </row>
    <row r="66" spans="3:10" ht="15.75" customHeight="1">
      <c r="C66" s="5">
        <v>2018</v>
      </c>
      <c r="D66" s="49">
        <v>43191</v>
      </c>
      <c r="E66" s="50">
        <v>43195</v>
      </c>
      <c r="F66" s="8">
        <f>VLOOKUP(Tabla817[[#This Row],[año]],Tabla1[],4,FALSE)</f>
        <v>253644.35172000001</v>
      </c>
      <c r="G66" s="8">
        <v>0</v>
      </c>
      <c r="H66" s="8">
        <f>Tabla817[[#This Row],[Cuota]]-Tabla817[[#This Row],[Valor Pagado ]]</f>
        <v>253644.35172000001</v>
      </c>
      <c r="I66" s="51">
        <f>IF(Tabla817[[#This Row],[Valor Pagado ]]&gt;=Tabla817[[#This Row],[Cuota]],0,Tabla817[[#This Row],[Cuota]]*$M$3)</f>
        <v>1268.2217586000002</v>
      </c>
      <c r="J66" s="8">
        <f>Tabla817[[#This Row],[Subsaldo]]+Tabla817[[#This Row],[Interes]]</f>
        <v>254912.57347860001</v>
      </c>
    </row>
    <row r="67" spans="3:10" ht="15.75" customHeight="1">
      <c r="C67" s="5">
        <v>2018</v>
      </c>
      <c r="D67" s="49">
        <v>43221</v>
      </c>
      <c r="E67" s="50">
        <v>43225</v>
      </c>
      <c r="F67" s="8">
        <f>VLOOKUP(Tabla817[[#This Row],[año]],Tabla1[],4,FALSE)</f>
        <v>253644.35172000001</v>
      </c>
      <c r="G67" s="8">
        <v>0</v>
      </c>
      <c r="H67" s="8">
        <f>Tabla817[[#This Row],[Cuota]]-Tabla817[[#This Row],[Valor Pagado ]]</f>
        <v>253644.35172000001</v>
      </c>
      <c r="I67" s="51">
        <f>IF(Tabla817[[#This Row],[Valor Pagado ]]&gt;=Tabla817[[#This Row],[Cuota]],0,Tabla817[[#This Row],[Cuota]]*$M$3)</f>
        <v>1268.2217586000002</v>
      </c>
      <c r="J67" s="8">
        <f>Tabla817[[#This Row],[Subsaldo]]+Tabla817[[#This Row],[Interes]]</f>
        <v>254912.57347860001</v>
      </c>
    </row>
    <row r="68" spans="3:10" ht="15.75" customHeight="1">
      <c r="C68" s="5">
        <v>2018</v>
      </c>
      <c r="D68" s="49">
        <v>43252</v>
      </c>
      <c r="E68" s="50">
        <v>43256</v>
      </c>
      <c r="F68" s="8">
        <f>VLOOKUP(Tabla817[[#This Row],[año]],Tabla1[],4,FALSE)</f>
        <v>253644.35172000001</v>
      </c>
      <c r="G68" s="8">
        <v>0</v>
      </c>
      <c r="H68" s="8">
        <f>Tabla817[[#This Row],[Cuota]]-Tabla817[[#This Row],[Valor Pagado ]]</f>
        <v>253644.35172000001</v>
      </c>
      <c r="I68" s="51">
        <f>IF(Tabla817[[#This Row],[Valor Pagado ]]&gt;=Tabla817[[#This Row],[Cuota]],0,Tabla817[[#This Row],[Cuota]]*$M$3)</f>
        <v>1268.2217586000002</v>
      </c>
      <c r="J68" s="8">
        <f>Tabla817[[#This Row],[Subsaldo]]+Tabla817[[#This Row],[Interes]]</f>
        <v>254912.57347860001</v>
      </c>
    </row>
    <row r="69" spans="3:10" ht="15.75" customHeight="1">
      <c r="C69" s="5">
        <v>2018</v>
      </c>
      <c r="D69" s="49">
        <v>43282</v>
      </c>
      <c r="E69" s="50">
        <v>43286</v>
      </c>
      <c r="F69" s="8">
        <f>VLOOKUP(Tabla817[[#This Row],[año]],Tabla1[],4,FALSE)</f>
        <v>253644.35172000001</v>
      </c>
      <c r="G69" s="8">
        <v>0</v>
      </c>
      <c r="H69" s="8">
        <f>Tabla817[[#This Row],[Cuota]]-Tabla817[[#This Row],[Valor Pagado ]]</f>
        <v>253644.35172000001</v>
      </c>
      <c r="I69" s="51">
        <f>IF(Tabla817[[#This Row],[Valor Pagado ]]&gt;=Tabla817[[#This Row],[Cuota]],0,Tabla817[[#This Row],[Cuota]]*$M$3)</f>
        <v>1268.2217586000002</v>
      </c>
      <c r="J69" s="8">
        <f>Tabla817[[#This Row],[Subsaldo]]+Tabla817[[#This Row],[Interes]]</f>
        <v>254912.57347860001</v>
      </c>
    </row>
    <row r="70" spans="3:10" ht="15.75" customHeight="1">
      <c r="C70" s="5">
        <v>2018</v>
      </c>
      <c r="D70" s="49">
        <v>43313</v>
      </c>
      <c r="E70" s="50">
        <v>43317</v>
      </c>
      <c r="F70" s="8">
        <f>VLOOKUP(Tabla817[[#This Row],[año]],Tabla1[],4,FALSE)</f>
        <v>253644.35172000001</v>
      </c>
      <c r="G70" s="8">
        <v>0</v>
      </c>
      <c r="H70" s="8">
        <f>Tabla817[[#This Row],[Cuota]]-Tabla817[[#This Row],[Valor Pagado ]]</f>
        <v>253644.35172000001</v>
      </c>
      <c r="I70" s="51">
        <f>IF(Tabla817[[#This Row],[Valor Pagado ]]&gt;=Tabla817[[#This Row],[Cuota]],0,Tabla817[[#This Row],[Cuota]]*$M$3)</f>
        <v>1268.2217586000002</v>
      </c>
      <c r="J70" s="8">
        <f>Tabla817[[#This Row],[Subsaldo]]+Tabla817[[#This Row],[Interes]]</f>
        <v>254912.57347860001</v>
      </c>
    </row>
    <row r="71" spans="3:10" ht="15.75" customHeight="1">
      <c r="C71" s="5">
        <v>2018</v>
      </c>
      <c r="D71" s="49">
        <v>43344</v>
      </c>
      <c r="E71" s="50">
        <v>43348</v>
      </c>
      <c r="F71" s="8">
        <f>VLOOKUP(Tabla817[[#This Row],[año]],Tabla1[],4,FALSE)</f>
        <v>253644.35172000001</v>
      </c>
      <c r="G71" s="8">
        <v>0</v>
      </c>
      <c r="H71" s="8">
        <f>Tabla817[[#This Row],[Cuota]]-Tabla817[[#This Row],[Valor Pagado ]]</f>
        <v>253644.35172000001</v>
      </c>
      <c r="I71" s="51">
        <f>IF(Tabla817[[#This Row],[Valor Pagado ]]&gt;=Tabla817[[#This Row],[Cuota]],0,Tabla817[[#This Row],[Cuota]]*$M$3)</f>
        <v>1268.2217586000002</v>
      </c>
      <c r="J71" s="8">
        <f>Tabla817[[#This Row],[Subsaldo]]+Tabla817[[#This Row],[Interes]]</f>
        <v>254912.57347860001</v>
      </c>
    </row>
    <row r="72" spans="3:10" ht="15.75" customHeight="1">
      <c r="C72" s="5">
        <v>2018</v>
      </c>
      <c r="D72" s="49">
        <v>43374</v>
      </c>
      <c r="E72" s="50">
        <v>43378</v>
      </c>
      <c r="F72" s="8">
        <f>VLOOKUP(Tabla817[[#This Row],[año]],Tabla1[],4,FALSE)</f>
        <v>253644.35172000001</v>
      </c>
      <c r="G72" s="8">
        <v>0</v>
      </c>
      <c r="H72" s="8">
        <f>Tabla817[[#This Row],[Cuota]]-Tabla817[[#This Row],[Valor Pagado ]]</f>
        <v>253644.35172000001</v>
      </c>
      <c r="I72" s="51">
        <f>IF(Tabla817[[#This Row],[Valor Pagado ]]&gt;=Tabla817[[#This Row],[Cuota]],0,Tabla817[[#This Row],[Cuota]]*$M$3)</f>
        <v>1268.2217586000002</v>
      </c>
      <c r="J72" s="8">
        <f>Tabla817[[#This Row],[Subsaldo]]+Tabla817[[#This Row],[Interes]]</f>
        <v>254912.57347860001</v>
      </c>
    </row>
    <row r="73" spans="3:10" ht="15.75" customHeight="1">
      <c r="C73" s="5">
        <v>2018</v>
      </c>
      <c r="D73" s="49">
        <v>43405</v>
      </c>
      <c r="E73" s="50">
        <v>43409</v>
      </c>
      <c r="F73" s="8">
        <f>VLOOKUP(Tabla817[[#This Row],[año]],Tabla1[],4,FALSE)</f>
        <v>253644.35172000001</v>
      </c>
      <c r="G73" s="8">
        <v>0</v>
      </c>
      <c r="H73" s="8">
        <f>Tabla817[[#This Row],[Cuota]]-Tabla817[[#This Row],[Valor Pagado ]]</f>
        <v>253644.35172000001</v>
      </c>
      <c r="I73" s="51">
        <f>IF(Tabla817[[#This Row],[Valor Pagado ]]&gt;=Tabla817[[#This Row],[Cuota]],0,Tabla817[[#This Row],[Cuota]]*$M$3)</f>
        <v>1268.2217586000002</v>
      </c>
      <c r="J73" s="8">
        <f>Tabla817[[#This Row],[Subsaldo]]+Tabla817[[#This Row],[Interes]]</f>
        <v>254912.57347860001</v>
      </c>
    </row>
    <row r="74" spans="3:10" ht="15.75" customHeight="1">
      <c r="C74" s="5">
        <v>2018</v>
      </c>
      <c r="D74" s="49">
        <v>43435</v>
      </c>
      <c r="E74" s="50">
        <v>43439</v>
      </c>
      <c r="F74" s="8">
        <f>VLOOKUP(Tabla817[[#This Row],[año]],Tabla1[],4,FALSE)</f>
        <v>253644.35172000001</v>
      </c>
      <c r="G74" s="8">
        <v>0</v>
      </c>
      <c r="H74" s="8">
        <f>Tabla817[[#This Row],[Cuota]]-Tabla817[[#This Row],[Valor Pagado ]]</f>
        <v>253644.35172000001</v>
      </c>
      <c r="I74" s="51">
        <f>IF(Tabla817[[#This Row],[Valor Pagado ]]&gt;=Tabla817[[#This Row],[Cuota]],0,Tabla817[[#This Row],[Cuota]]*$M$3)</f>
        <v>1268.2217586000002</v>
      </c>
      <c r="J74" s="8">
        <f>Tabla817[[#This Row],[Subsaldo]]+Tabla817[[#This Row],[Interes]]</f>
        <v>254912.57347860001</v>
      </c>
    </row>
    <row r="75" spans="3:10" ht="15.75" customHeight="1">
      <c r="C75" s="9" t="s">
        <v>0</v>
      </c>
      <c r="H75" s="8">
        <f>SUM(Tabla817[Subsaldo])</f>
        <v>3043732.2206400004</v>
      </c>
      <c r="I75" s="51">
        <f>(Tabla817[[#Totals],[Subsaldo]]*(M3*COUNTIF(Tabla817[Subsaldo],"&gt;0")))+(Tabla716[[#Totals],[Interes]]+Tabla716[[#Totals],[Interes]]*M4)</f>
        <v>647655.32165840012</v>
      </c>
      <c r="J75" s="8">
        <f>Tabla817[[#Totals],[Subsaldo]]+Tabla817[[#Totals],[Interes]]</f>
        <v>3691387.5422984008</v>
      </c>
    </row>
    <row r="76" spans="3:10" ht="15.75" customHeight="1"/>
    <row r="77" spans="3:10" ht="15.75" customHeight="1">
      <c r="C77" s="34" t="s">
        <v>12</v>
      </c>
      <c r="D77" s="46" t="s">
        <v>1</v>
      </c>
      <c r="E77" s="47" t="s">
        <v>7</v>
      </c>
      <c r="F77" s="48" t="s">
        <v>8</v>
      </c>
      <c r="G77" s="48" t="s">
        <v>9</v>
      </c>
      <c r="H77" s="48" t="s">
        <v>13</v>
      </c>
      <c r="I77" s="46" t="s">
        <v>11</v>
      </c>
      <c r="J77" s="46" t="s">
        <v>10</v>
      </c>
    </row>
    <row r="78" spans="3:10" ht="15.75" customHeight="1">
      <c r="C78" s="5">
        <v>2019</v>
      </c>
      <c r="D78" s="49">
        <v>43466</v>
      </c>
      <c r="E78" s="50">
        <v>43470</v>
      </c>
      <c r="F78" s="8">
        <f>VLOOKUP(Tabla918[[#This Row],[año]],Tabla1[],4,FALSE)</f>
        <v>268863.01282320003</v>
      </c>
      <c r="G78" s="8">
        <v>0</v>
      </c>
      <c r="H78" s="8">
        <f>Tabla918[[#This Row],[Cuota]]-Tabla918[[#This Row],[Valor Pagado ]]</f>
        <v>268863.01282320003</v>
      </c>
      <c r="I78" s="51">
        <f>IF(Tabla918[[#This Row],[Valor Pagado ]]&gt;=Tabla918[[#This Row],[Cuota]],0,Tabla918[[#This Row],[Cuota]]*$M$3)</f>
        <v>1344.3150641160003</v>
      </c>
      <c r="J78" s="8">
        <f>Tabla918[[#This Row],[Subsaldo]]+Tabla918[[#This Row],[Interes]]</f>
        <v>270207.327887316</v>
      </c>
    </row>
    <row r="79" spans="3:10" ht="15.75" customHeight="1">
      <c r="C79" s="5">
        <v>2019</v>
      </c>
      <c r="D79" s="49">
        <v>43497</v>
      </c>
      <c r="E79" s="50">
        <v>43501</v>
      </c>
      <c r="F79" s="8">
        <f>VLOOKUP(Tabla918[[#This Row],[año]],Tabla1[],4,FALSE)</f>
        <v>268863.01282320003</v>
      </c>
      <c r="G79" s="8">
        <v>0</v>
      </c>
      <c r="H79" s="8">
        <f>Tabla918[[#This Row],[Cuota]]-Tabla918[[#This Row],[Valor Pagado ]]</f>
        <v>268863.01282320003</v>
      </c>
      <c r="I79" s="51">
        <f>IF(Tabla918[[#This Row],[Valor Pagado ]]&gt;=Tabla918[[#This Row],[Cuota]],0,Tabla918[[#This Row],[Cuota]]*$M$3)</f>
        <v>1344.3150641160003</v>
      </c>
      <c r="J79" s="8">
        <f>Tabla918[[#This Row],[Subsaldo]]+Tabla918[[#This Row],[Interes]]</f>
        <v>270207.327887316</v>
      </c>
    </row>
    <row r="80" spans="3:10" ht="15.75" customHeight="1">
      <c r="C80" s="5">
        <v>2019</v>
      </c>
      <c r="D80" s="49">
        <v>43525</v>
      </c>
      <c r="E80" s="50">
        <v>43529</v>
      </c>
      <c r="F80" s="8">
        <f>VLOOKUP(Tabla918[[#This Row],[año]],Tabla1[],4,FALSE)</f>
        <v>268863.01282320003</v>
      </c>
      <c r="G80" s="8">
        <v>0</v>
      </c>
      <c r="H80" s="8">
        <f>Tabla918[[#This Row],[Cuota]]-Tabla918[[#This Row],[Valor Pagado ]]</f>
        <v>268863.01282320003</v>
      </c>
      <c r="I80" s="51">
        <f>IF(Tabla918[[#This Row],[Valor Pagado ]]&gt;=Tabla918[[#This Row],[Cuota]],0,Tabla918[[#This Row],[Cuota]]*$M$3)</f>
        <v>1344.3150641160003</v>
      </c>
      <c r="J80" s="8">
        <f>Tabla918[[#This Row],[Subsaldo]]+Tabla918[[#This Row],[Interes]]</f>
        <v>270207.327887316</v>
      </c>
    </row>
    <row r="81" spans="3:10" ht="15.75" customHeight="1">
      <c r="C81" s="5">
        <v>2019</v>
      </c>
      <c r="D81" s="49">
        <v>43556</v>
      </c>
      <c r="E81" s="50">
        <v>43560</v>
      </c>
      <c r="F81" s="8">
        <f>VLOOKUP(Tabla918[[#This Row],[año]],Tabla1[],4,FALSE)</f>
        <v>268863.01282320003</v>
      </c>
      <c r="G81" s="8">
        <v>0</v>
      </c>
      <c r="H81" s="8">
        <f>Tabla918[[#This Row],[Cuota]]-Tabla918[[#This Row],[Valor Pagado ]]</f>
        <v>268863.01282320003</v>
      </c>
      <c r="I81" s="51">
        <f>IF(Tabla918[[#This Row],[Valor Pagado ]]&gt;=Tabla918[[#This Row],[Cuota]],0,Tabla918[[#This Row],[Cuota]]*$M$3)</f>
        <v>1344.3150641160003</v>
      </c>
      <c r="J81" s="8">
        <f>Tabla918[[#This Row],[Subsaldo]]+Tabla918[[#This Row],[Interes]]</f>
        <v>270207.327887316</v>
      </c>
    </row>
    <row r="82" spans="3:10" ht="15.75" customHeight="1">
      <c r="C82" s="5">
        <v>2019</v>
      </c>
      <c r="D82" s="49">
        <v>43586</v>
      </c>
      <c r="E82" s="50">
        <v>43590</v>
      </c>
      <c r="F82" s="8">
        <f>VLOOKUP(Tabla918[[#This Row],[año]],Tabla1[],4,FALSE)</f>
        <v>268863.01282320003</v>
      </c>
      <c r="G82" s="8">
        <v>0</v>
      </c>
      <c r="H82" s="8">
        <f>Tabla918[[#This Row],[Cuota]]-Tabla918[[#This Row],[Valor Pagado ]]</f>
        <v>268863.01282320003</v>
      </c>
      <c r="I82" s="51">
        <f>IF(Tabla918[[#This Row],[Valor Pagado ]]&gt;=Tabla918[[#This Row],[Cuota]],0,Tabla918[[#This Row],[Cuota]]*$M$3)</f>
        <v>1344.3150641160003</v>
      </c>
      <c r="J82" s="8">
        <f>Tabla918[[#This Row],[Subsaldo]]+Tabla918[[#This Row],[Interes]]</f>
        <v>270207.327887316</v>
      </c>
    </row>
    <row r="83" spans="3:10" ht="15.75" customHeight="1">
      <c r="C83" s="5">
        <v>2019</v>
      </c>
      <c r="D83" s="49">
        <v>43617</v>
      </c>
      <c r="E83" s="50">
        <v>43621</v>
      </c>
      <c r="F83" s="8">
        <f>VLOOKUP(Tabla918[[#This Row],[año]],Tabla1[],4,FALSE)</f>
        <v>268863.01282320003</v>
      </c>
      <c r="G83" s="8">
        <v>0</v>
      </c>
      <c r="H83" s="8">
        <f>Tabla918[[#This Row],[Cuota]]-Tabla918[[#This Row],[Valor Pagado ]]</f>
        <v>268863.01282320003</v>
      </c>
      <c r="I83" s="51">
        <f>IF(Tabla918[[#This Row],[Valor Pagado ]]&gt;=Tabla918[[#This Row],[Cuota]],0,Tabla918[[#This Row],[Cuota]]*$M$3)</f>
        <v>1344.3150641160003</v>
      </c>
      <c r="J83" s="8">
        <f>Tabla918[[#This Row],[Subsaldo]]+Tabla918[[#This Row],[Interes]]</f>
        <v>270207.327887316</v>
      </c>
    </row>
    <row r="84" spans="3:10" ht="15.75" customHeight="1">
      <c r="C84" s="5">
        <v>2019</v>
      </c>
      <c r="D84" s="49">
        <v>43647</v>
      </c>
      <c r="E84" s="50">
        <v>43651</v>
      </c>
      <c r="F84" s="8">
        <f>VLOOKUP(Tabla918[[#This Row],[año]],Tabla1[],4,FALSE)</f>
        <v>268863.01282320003</v>
      </c>
      <c r="G84" s="8">
        <v>0</v>
      </c>
      <c r="H84" s="8">
        <f>Tabla918[[#This Row],[Cuota]]-Tabla918[[#This Row],[Valor Pagado ]]</f>
        <v>268863.01282320003</v>
      </c>
      <c r="I84" s="51">
        <f>IF(Tabla918[[#This Row],[Valor Pagado ]]&gt;=Tabla918[[#This Row],[Cuota]],0,Tabla918[[#This Row],[Cuota]]*$M$3)</f>
        <v>1344.3150641160003</v>
      </c>
      <c r="J84" s="8">
        <f>Tabla918[[#This Row],[Subsaldo]]+Tabla918[[#This Row],[Interes]]</f>
        <v>270207.327887316</v>
      </c>
    </row>
    <row r="85" spans="3:10" ht="15.75" customHeight="1">
      <c r="C85" s="5">
        <v>2019</v>
      </c>
      <c r="D85" s="49">
        <v>43678</v>
      </c>
      <c r="E85" s="50">
        <v>43682</v>
      </c>
      <c r="F85" s="8">
        <f>VLOOKUP(Tabla918[[#This Row],[año]],Tabla1[],4,FALSE)</f>
        <v>268863.01282320003</v>
      </c>
      <c r="G85" s="8">
        <v>0</v>
      </c>
      <c r="H85" s="8">
        <f>Tabla918[[#This Row],[Cuota]]-Tabla918[[#This Row],[Valor Pagado ]]</f>
        <v>268863.01282320003</v>
      </c>
      <c r="I85" s="51">
        <f>IF(Tabla918[[#This Row],[Valor Pagado ]]&gt;=Tabla918[[#This Row],[Cuota]],0,Tabla918[[#This Row],[Cuota]]*$M$3)</f>
        <v>1344.3150641160003</v>
      </c>
      <c r="J85" s="8">
        <f>Tabla918[[#This Row],[Subsaldo]]+Tabla918[[#This Row],[Interes]]</f>
        <v>270207.327887316</v>
      </c>
    </row>
    <row r="86" spans="3:10" ht="15.75" customHeight="1">
      <c r="C86" s="5">
        <v>2019</v>
      </c>
      <c r="D86" s="49">
        <v>43709</v>
      </c>
      <c r="E86" s="50">
        <v>43713</v>
      </c>
      <c r="F86" s="8">
        <f>VLOOKUP(Tabla918[[#This Row],[año]],Tabla1[],4,FALSE)</f>
        <v>268863.01282320003</v>
      </c>
      <c r="G86" s="8">
        <v>0</v>
      </c>
      <c r="H86" s="8">
        <f>Tabla918[[#This Row],[Cuota]]-Tabla918[[#This Row],[Valor Pagado ]]</f>
        <v>268863.01282320003</v>
      </c>
      <c r="I86" s="51">
        <f>IF(Tabla918[[#This Row],[Valor Pagado ]]&gt;=Tabla918[[#This Row],[Cuota]],0,Tabla918[[#This Row],[Cuota]]*$M$3)</f>
        <v>1344.3150641160003</v>
      </c>
      <c r="J86" s="8">
        <f>Tabla918[[#This Row],[Subsaldo]]+Tabla918[[#This Row],[Interes]]</f>
        <v>270207.327887316</v>
      </c>
    </row>
    <row r="87" spans="3:10" ht="15.75" customHeight="1">
      <c r="C87" s="5">
        <v>2019</v>
      </c>
      <c r="D87" s="49">
        <v>43739</v>
      </c>
      <c r="E87" s="50">
        <v>43743</v>
      </c>
      <c r="F87" s="8">
        <f>VLOOKUP(Tabla918[[#This Row],[año]],Tabla1[],4,FALSE)</f>
        <v>268863.01282320003</v>
      </c>
      <c r="G87" s="8">
        <v>0</v>
      </c>
      <c r="H87" s="8">
        <f>Tabla918[[#This Row],[Cuota]]-Tabla918[[#This Row],[Valor Pagado ]]</f>
        <v>268863.01282320003</v>
      </c>
      <c r="I87" s="51">
        <f>IF(Tabla918[[#This Row],[Valor Pagado ]]&gt;=Tabla918[[#This Row],[Cuota]],0,Tabla918[[#This Row],[Cuota]]*$M$3)</f>
        <v>1344.3150641160003</v>
      </c>
      <c r="J87" s="8">
        <f>Tabla918[[#This Row],[Subsaldo]]+Tabla918[[#This Row],[Interes]]</f>
        <v>270207.327887316</v>
      </c>
    </row>
    <row r="88" spans="3:10" ht="15.75" customHeight="1">
      <c r="C88" s="5">
        <v>2019</v>
      </c>
      <c r="D88" s="49">
        <v>43770</v>
      </c>
      <c r="E88" s="50">
        <v>43774</v>
      </c>
      <c r="F88" s="8">
        <f>VLOOKUP(Tabla918[[#This Row],[año]],Tabla1[],4,FALSE)</f>
        <v>268863.01282320003</v>
      </c>
      <c r="G88" s="8">
        <v>0</v>
      </c>
      <c r="H88" s="8">
        <f>Tabla918[[#This Row],[Cuota]]-Tabla918[[#This Row],[Valor Pagado ]]</f>
        <v>268863.01282320003</v>
      </c>
      <c r="I88" s="51">
        <f>IF(Tabla918[[#This Row],[Valor Pagado ]]&gt;=Tabla918[[#This Row],[Cuota]],0,Tabla918[[#This Row],[Cuota]]*$M$3)</f>
        <v>1344.3150641160003</v>
      </c>
      <c r="J88" s="8">
        <f>Tabla918[[#This Row],[Subsaldo]]+Tabla918[[#This Row],[Interes]]</f>
        <v>270207.327887316</v>
      </c>
    </row>
    <row r="89" spans="3:10" ht="15.75" customHeight="1">
      <c r="C89" s="5">
        <v>2019</v>
      </c>
      <c r="D89" s="49">
        <v>43800</v>
      </c>
      <c r="E89" s="50">
        <v>43804</v>
      </c>
      <c r="F89" s="8">
        <f>VLOOKUP(Tabla918[[#This Row],[año]],Tabla1[],4,FALSE)</f>
        <v>268863.01282320003</v>
      </c>
      <c r="G89" s="8">
        <v>0</v>
      </c>
      <c r="H89" s="8">
        <f>Tabla918[[#This Row],[Cuota]]-Tabla918[[#This Row],[Valor Pagado ]]</f>
        <v>268863.01282320003</v>
      </c>
      <c r="I89" s="51">
        <f>IF(Tabla918[[#This Row],[Valor Pagado ]]&gt;=Tabla918[[#This Row],[Cuota]],0,Tabla918[[#This Row],[Cuota]]*$M$3)</f>
        <v>1344.3150641160003</v>
      </c>
      <c r="J89" s="8">
        <f>Tabla918[[#This Row],[Subsaldo]]+Tabla918[[#This Row],[Interes]]</f>
        <v>270207.327887316</v>
      </c>
    </row>
    <row r="90" spans="3:10" ht="15.75" customHeight="1">
      <c r="C90" s="9" t="s">
        <v>0</v>
      </c>
      <c r="H90" s="8">
        <f>SUM(Tabla918[Subsaldo])</f>
        <v>3226356.1538783996</v>
      </c>
      <c r="I90" s="51">
        <f>(Tabla918[[#Totals],[Subsaldo]]*(M3*COUNTIF(Tabla918[Subsaldo],"&gt;0")))+(Tabla817[[#Totals],[Interes]]+Tabla817[[#Totals],[Interes]]*M4)</f>
        <v>880096.0101906081</v>
      </c>
      <c r="J90" s="8">
        <f>Tabla918[[#Totals],[Subsaldo]]+Tabla918[[#Totals],[Interes]]</f>
        <v>4106452.1640690076</v>
      </c>
    </row>
    <row r="91" spans="3:10" ht="15.75" customHeight="1"/>
    <row r="92" spans="3:10" ht="15.75" customHeight="1">
      <c r="C92" s="34" t="s">
        <v>12</v>
      </c>
      <c r="D92" s="46" t="s">
        <v>1</v>
      </c>
      <c r="E92" s="47" t="s">
        <v>7</v>
      </c>
      <c r="F92" s="48" t="s">
        <v>8</v>
      </c>
      <c r="G92" s="48" t="s">
        <v>9</v>
      </c>
      <c r="H92" s="48" t="s">
        <v>13</v>
      </c>
      <c r="I92" s="46" t="s">
        <v>11</v>
      </c>
      <c r="J92" s="46" t="s">
        <v>10</v>
      </c>
    </row>
    <row r="93" spans="3:10" ht="15.75" customHeight="1">
      <c r="C93" s="5">
        <v>2020</v>
      </c>
      <c r="D93" s="49">
        <v>43831</v>
      </c>
      <c r="E93" s="50">
        <v>43835</v>
      </c>
      <c r="F93" s="8">
        <f>VLOOKUP(Tabla1019[[#This Row],[año]],Tabla1[],4,FALSE)</f>
        <v>284994.793592592</v>
      </c>
      <c r="G93" s="8">
        <v>0</v>
      </c>
      <c r="H93" s="8">
        <f>Tabla1019[[#This Row],[Cuota]]-Tabla1019[[#This Row],[Valor Pagado ]]</f>
        <v>284994.793592592</v>
      </c>
      <c r="I93" s="51">
        <f>IF(Tabla1019[[#This Row],[Valor Pagado ]]&gt;=Tabla1019[[#This Row],[Cuota]],0,Tabla1019[[#This Row],[Cuota]]*$M$3)</f>
        <v>1424.9739679629599</v>
      </c>
      <c r="J93" s="8">
        <f>Tabla1019[[#This Row],[Subsaldo]]+Tabla1019[[#This Row],[Interes]]</f>
        <v>286419.76756055496</v>
      </c>
    </row>
    <row r="94" spans="3:10" ht="15.75" customHeight="1">
      <c r="C94" s="5">
        <v>2020</v>
      </c>
      <c r="D94" s="49">
        <v>43862</v>
      </c>
      <c r="E94" s="50">
        <v>43866</v>
      </c>
      <c r="F94" s="8">
        <f>VLOOKUP(Tabla1019[[#This Row],[año]],Tabla1[],4,FALSE)</f>
        <v>284994.793592592</v>
      </c>
      <c r="G94" s="8">
        <v>0</v>
      </c>
      <c r="H94" s="8">
        <f>Tabla1019[[#This Row],[Cuota]]-Tabla1019[[#This Row],[Valor Pagado ]]</f>
        <v>284994.793592592</v>
      </c>
      <c r="I94" s="51">
        <f>IF(Tabla1019[[#This Row],[Valor Pagado ]]&gt;=Tabla1019[[#This Row],[Cuota]],0,Tabla1019[[#This Row],[Cuota]]*$M$3)</f>
        <v>1424.9739679629599</v>
      </c>
      <c r="J94" s="8">
        <f>Tabla1019[[#This Row],[Subsaldo]]+Tabla1019[[#This Row],[Interes]]</f>
        <v>286419.76756055496</v>
      </c>
    </row>
    <row r="95" spans="3:10" ht="15.75" customHeight="1">
      <c r="C95" s="5">
        <v>2020</v>
      </c>
      <c r="D95" s="49">
        <v>43891</v>
      </c>
      <c r="E95" s="50">
        <v>43895</v>
      </c>
      <c r="F95" s="8">
        <f>VLOOKUP(Tabla1019[[#This Row],[año]],Tabla1[],4,FALSE)</f>
        <v>284994.793592592</v>
      </c>
      <c r="G95" s="8">
        <v>0</v>
      </c>
      <c r="H95" s="8">
        <f>Tabla1019[[#This Row],[Cuota]]-Tabla1019[[#This Row],[Valor Pagado ]]</f>
        <v>284994.793592592</v>
      </c>
      <c r="I95" s="51">
        <f>IF(Tabla1019[[#This Row],[Valor Pagado ]]&gt;=Tabla1019[[#This Row],[Cuota]],0,Tabla1019[[#This Row],[Cuota]]*$M$3)</f>
        <v>1424.9739679629599</v>
      </c>
      <c r="J95" s="8">
        <f>Tabla1019[[#This Row],[Subsaldo]]+Tabla1019[[#This Row],[Interes]]</f>
        <v>286419.76756055496</v>
      </c>
    </row>
    <row r="96" spans="3:10" ht="15.75" customHeight="1">
      <c r="C96" s="5">
        <v>2020</v>
      </c>
      <c r="D96" s="49">
        <v>43922</v>
      </c>
      <c r="E96" s="50">
        <v>43926</v>
      </c>
      <c r="F96" s="8">
        <f>VLOOKUP(Tabla1019[[#This Row],[año]],Tabla1[],4,FALSE)</f>
        <v>284994.793592592</v>
      </c>
      <c r="G96" s="8">
        <v>0</v>
      </c>
      <c r="H96" s="8">
        <f>Tabla1019[[#This Row],[Cuota]]-Tabla1019[[#This Row],[Valor Pagado ]]</f>
        <v>284994.793592592</v>
      </c>
      <c r="I96" s="51">
        <f>IF(Tabla1019[[#This Row],[Valor Pagado ]]&gt;=Tabla1019[[#This Row],[Cuota]],0,Tabla1019[[#This Row],[Cuota]]*$M$3)</f>
        <v>1424.9739679629599</v>
      </c>
      <c r="J96" s="8">
        <f>Tabla1019[[#This Row],[Subsaldo]]+Tabla1019[[#This Row],[Interes]]</f>
        <v>286419.76756055496</v>
      </c>
    </row>
    <row r="97" spans="3:13" ht="15.75" customHeight="1">
      <c r="C97" s="5">
        <v>2020</v>
      </c>
      <c r="D97" s="49">
        <v>43952</v>
      </c>
      <c r="E97" s="50">
        <v>43956</v>
      </c>
      <c r="F97" s="8">
        <f>VLOOKUP(Tabla1019[[#This Row],[año]],Tabla1[],4,FALSE)</f>
        <v>284994.793592592</v>
      </c>
      <c r="G97" s="8">
        <v>0</v>
      </c>
      <c r="H97" s="8">
        <f>Tabla1019[[#This Row],[Cuota]]-Tabla1019[[#This Row],[Valor Pagado ]]</f>
        <v>284994.793592592</v>
      </c>
      <c r="I97" s="51">
        <f>IF(Tabla1019[[#This Row],[Valor Pagado ]]&gt;=Tabla1019[[#This Row],[Cuota]],0,Tabla1019[[#This Row],[Cuota]]*$M$3)</f>
        <v>1424.9739679629599</v>
      </c>
      <c r="J97" s="8">
        <f>Tabla1019[[#This Row],[Subsaldo]]+Tabla1019[[#This Row],[Interes]]</f>
        <v>286419.76756055496</v>
      </c>
    </row>
    <row r="98" spans="3:13" ht="15.75" customHeight="1">
      <c r="C98" s="5">
        <v>2020</v>
      </c>
      <c r="D98" s="49">
        <v>43983</v>
      </c>
      <c r="E98" s="50">
        <v>43987</v>
      </c>
      <c r="F98" s="8">
        <f>VLOOKUP(Tabla1019[[#This Row],[año]],Tabla1[],4,FALSE)</f>
        <v>284994.793592592</v>
      </c>
      <c r="G98" s="8">
        <v>0</v>
      </c>
      <c r="H98" s="8">
        <f>Tabla1019[[#This Row],[Cuota]]-Tabla1019[[#This Row],[Valor Pagado ]]</f>
        <v>284994.793592592</v>
      </c>
      <c r="I98" s="51">
        <f>IF(Tabla1019[[#This Row],[Valor Pagado ]]&gt;=Tabla1019[[#This Row],[Cuota]],0,Tabla1019[[#This Row],[Cuota]]*$M$3)</f>
        <v>1424.9739679629599</v>
      </c>
      <c r="J98" s="8">
        <f>Tabla1019[[#This Row],[Subsaldo]]+Tabla1019[[#This Row],[Interes]]</f>
        <v>286419.76756055496</v>
      </c>
    </row>
    <row r="99" spans="3:13" ht="15.75" customHeight="1">
      <c r="C99" s="5">
        <v>2020</v>
      </c>
      <c r="D99" s="49">
        <v>44013</v>
      </c>
      <c r="E99" s="50">
        <v>44017</v>
      </c>
      <c r="F99" s="8">
        <f>VLOOKUP(Tabla1019[[#This Row],[año]],Tabla1[],4,FALSE)</f>
        <v>284994.793592592</v>
      </c>
      <c r="G99" s="8">
        <v>0</v>
      </c>
      <c r="H99" s="8">
        <f>Tabla1019[[#This Row],[Cuota]]-Tabla1019[[#This Row],[Valor Pagado ]]</f>
        <v>284994.793592592</v>
      </c>
      <c r="I99" s="51">
        <f>IF(Tabla1019[[#This Row],[Valor Pagado ]]&gt;=Tabla1019[[#This Row],[Cuota]],0,Tabla1019[[#This Row],[Cuota]]*$M$3)</f>
        <v>1424.9739679629599</v>
      </c>
      <c r="J99" s="8">
        <f>Tabla1019[[#This Row],[Subsaldo]]+Tabla1019[[#This Row],[Interes]]</f>
        <v>286419.76756055496</v>
      </c>
    </row>
    <row r="100" spans="3:13" ht="15.75" customHeight="1">
      <c r="C100" s="5">
        <v>2020</v>
      </c>
      <c r="D100" s="49">
        <v>44044</v>
      </c>
      <c r="E100" s="50">
        <v>44048</v>
      </c>
      <c r="F100" s="8">
        <f>VLOOKUP(Tabla1019[[#This Row],[año]],Tabla1[],4,FALSE)</f>
        <v>284994.793592592</v>
      </c>
      <c r="G100" s="8">
        <v>0</v>
      </c>
      <c r="H100" s="8">
        <f>Tabla1019[[#This Row],[Cuota]]-Tabla1019[[#This Row],[Valor Pagado ]]</f>
        <v>284994.793592592</v>
      </c>
      <c r="I100" s="51">
        <f>IF(Tabla1019[[#This Row],[Valor Pagado ]]&gt;=Tabla1019[[#This Row],[Cuota]],0,Tabla1019[[#This Row],[Cuota]]*$M$3)</f>
        <v>1424.9739679629599</v>
      </c>
      <c r="J100" s="8">
        <f>Tabla1019[[#This Row],[Subsaldo]]+Tabla1019[[#This Row],[Interes]]</f>
        <v>286419.76756055496</v>
      </c>
    </row>
    <row r="101" spans="3:13" ht="15.75" customHeight="1">
      <c r="C101" s="5">
        <v>2020</v>
      </c>
      <c r="D101" s="49">
        <v>44075</v>
      </c>
      <c r="E101" s="50">
        <v>44079</v>
      </c>
      <c r="F101" s="8">
        <f>VLOOKUP(Tabla1019[[#This Row],[año]],Tabla1[],4,FALSE)</f>
        <v>284994.793592592</v>
      </c>
      <c r="G101" s="8">
        <v>0</v>
      </c>
      <c r="H101" s="8">
        <f>Tabla1019[[#This Row],[Cuota]]-Tabla1019[[#This Row],[Valor Pagado ]]</f>
        <v>284994.793592592</v>
      </c>
      <c r="I101" s="51">
        <f>IF(Tabla1019[[#This Row],[Valor Pagado ]]&gt;=Tabla1019[[#This Row],[Cuota]],0,Tabla1019[[#This Row],[Cuota]]*$M$3)</f>
        <v>1424.9739679629599</v>
      </c>
      <c r="J101" s="8">
        <f>Tabla1019[[#This Row],[Subsaldo]]+Tabla1019[[#This Row],[Interes]]</f>
        <v>286419.76756055496</v>
      </c>
    </row>
    <row r="102" spans="3:13" ht="15.75" customHeight="1">
      <c r="C102" s="5">
        <v>2020</v>
      </c>
      <c r="D102" s="49">
        <v>44105</v>
      </c>
      <c r="E102" s="50">
        <v>44109</v>
      </c>
      <c r="F102" s="8">
        <f>VLOOKUP(Tabla1019[[#This Row],[año]],Tabla1[],4,FALSE)</f>
        <v>284994.793592592</v>
      </c>
      <c r="G102" s="8">
        <v>0</v>
      </c>
      <c r="H102" s="8">
        <f>Tabla1019[[#This Row],[Cuota]]-Tabla1019[[#This Row],[Valor Pagado ]]</f>
        <v>284994.793592592</v>
      </c>
      <c r="I102" s="51">
        <f>IF(Tabla1019[[#This Row],[Valor Pagado ]]&gt;=Tabla1019[[#This Row],[Cuota]],0,Tabla1019[[#This Row],[Cuota]]*$M$3)</f>
        <v>1424.9739679629599</v>
      </c>
      <c r="J102" s="8">
        <f>Tabla1019[[#This Row],[Subsaldo]]+Tabla1019[[#This Row],[Interes]]</f>
        <v>286419.76756055496</v>
      </c>
    </row>
    <row r="103" spans="3:13" ht="14">
      <c r="C103" s="5">
        <v>2020</v>
      </c>
      <c r="D103" s="49">
        <v>44136</v>
      </c>
      <c r="E103" s="50">
        <v>44140</v>
      </c>
      <c r="F103" s="8">
        <f>VLOOKUP(Tabla1019[[#This Row],[año]],Tabla1[],4,FALSE)</f>
        <v>284994.793592592</v>
      </c>
      <c r="G103" s="8">
        <v>0</v>
      </c>
      <c r="H103" s="8">
        <f>Tabla1019[[#This Row],[Cuota]]-Tabla1019[[#This Row],[Valor Pagado ]]</f>
        <v>284994.793592592</v>
      </c>
      <c r="I103" s="51">
        <f>IF(Tabla1019[[#This Row],[Valor Pagado ]]&gt;=Tabla1019[[#This Row],[Cuota]],0,Tabla1019[[#This Row],[Cuota]]*$M$3)</f>
        <v>1424.9739679629599</v>
      </c>
      <c r="J103" s="8">
        <f>Tabla1019[[#This Row],[Subsaldo]]+Tabla1019[[#This Row],[Interes]]</f>
        <v>286419.76756055496</v>
      </c>
    </row>
    <row r="104" spans="3:13" ht="15.75" customHeight="1">
      <c r="C104" s="5">
        <v>2020</v>
      </c>
      <c r="D104" s="49">
        <v>44166</v>
      </c>
      <c r="E104" s="50">
        <v>44170</v>
      </c>
      <c r="F104" s="8">
        <f>VLOOKUP(Tabla1019[[#This Row],[año]],Tabla1[],4,FALSE)</f>
        <v>284994.793592592</v>
      </c>
      <c r="G104" s="8">
        <v>0</v>
      </c>
      <c r="H104" s="8">
        <f>Tabla1019[[#This Row],[Cuota]]-Tabla1019[[#This Row],[Valor Pagado ]]</f>
        <v>284994.793592592</v>
      </c>
      <c r="I104" s="51">
        <f>IF(Tabla1019[[#This Row],[Valor Pagado ]]&gt;=Tabla1019[[#This Row],[Cuota]],0,Tabla1019[[#This Row],[Cuota]]*$M$3)</f>
        <v>1424.9739679629599</v>
      </c>
      <c r="J104" s="8">
        <f>Tabla1019[[#This Row],[Subsaldo]]+Tabla1019[[#This Row],[Interes]]</f>
        <v>286419.76756055496</v>
      </c>
      <c r="L104" s="56" t="s">
        <v>45</v>
      </c>
      <c r="M104" s="8">
        <f>Tabla413[[#Totals],[Saldo]]+Tabla514[[#Totals],[Saldo]]+Tabla615[[#Totals],[Saldo]]+Tabla716[[#Totals],[Saldo]]+Tabla817[[#Totals],[Saldo]]+Tabla918[[#Totals],[Saldo]]+Tabla1019[[#Totals],[Saldo]]</f>
        <v>20239009.048667222</v>
      </c>
    </row>
    <row r="105" spans="3:13" ht="15.75" customHeight="1">
      <c r="C105" s="9" t="s">
        <v>0</v>
      </c>
      <c r="H105" s="8">
        <f>SUM(Tabla1019[Subsaldo])</f>
        <v>3419937.5231111031</v>
      </c>
      <c r="I105" s="51">
        <f>(Tabla1019[[#Totals],[Subsaldo]]*(M3*COUNTIF(Tabla1019[Subsaldo],"&gt;0")))+(Tabla918[[#Totals],[Interes]]+Tabla918[[#Totals],[Interes]]*M4)</f>
        <v>1138098.0221887107</v>
      </c>
      <c r="J105" s="8">
        <f>Tabla1019[[#Totals],[Subsaldo]]+Tabla1019[[#Totals],[Interes]]</f>
        <v>4558035.5452998141</v>
      </c>
      <c r="L105" s="56" t="s">
        <v>46</v>
      </c>
      <c r="M105" s="8">
        <f>M104-4380000</f>
        <v>15859009.048667222</v>
      </c>
    </row>
    <row r="106" spans="3:13" ht="15.75" customHeight="1"/>
    <row r="107" spans="3:13" ht="15.75" customHeight="1">
      <c r="C107" s="34" t="s">
        <v>12</v>
      </c>
      <c r="D107" s="46" t="s">
        <v>1</v>
      </c>
      <c r="E107" s="47" t="s">
        <v>7</v>
      </c>
      <c r="F107" s="48" t="s">
        <v>8</v>
      </c>
      <c r="G107" s="48" t="s">
        <v>9</v>
      </c>
      <c r="H107" s="48" t="s">
        <v>13</v>
      </c>
      <c r="I107" s="46" t="s">
        <v>11</v>
      </c>
      <c r="J107" s="46" t="s">
        <v>10</v>
      </c>
    </row>
    <row r="108" spans="3:13" ht="15.75" customHeight="1">
      <c r="C108" s="5">
        <v>2021</v>
      </c>
      <c r="D108" s="49">
        <v>44197</v>
      </c>
      <c r="E108" s="50">
        <v>44201</v>
      </c>
      <c r="F108" s="8">
        <f>VLOOKUP(Tabla1120[[#This Row],[año]],Tabla1[],4,FALSE)</f>
        <v>294969.6113683327</v>
      </c>
      <c r="G108" s="8">
        <v>0</v>
      </c>
      <c r="H108" s="8">
        <f>Tabla1120[[#This Row],[Cuota]]-Tabla1120[[#This Row],[Valor Pagado ]]</f>
        <v>294969.6113683327</v>
      </c>
      <c r="I108" s="51">
        <f>IF(Tabla1120[[#This Row],[Valor Pagado ]]&gt;=Tabla1120[[#This Row],[Cuota]],0,Tabla1120[[#This Row],[Cuota]]*$M$3)</f>
        <v>1474.8480568416635</v>
      </c>
      <c r="J108" s="8">
        <f>Tabla1120[[#This Row],[Subsaldo]]+Tabla1120[[#This Row],[Interes]]</f>
        <v>296444.45942517434</v>
      </c>
    </row>
    <row r="109" spans="3:13" ht="15.75" customHeight="1">
      <c r="C109" s="5">
        <v>2021</v>
      </c>
      <c r="D109" s="49">
        <v>44228</v>
      </c>
      <c r="E109" s="50">
        <v>44232</v>
      </c>
      <c r="F109" s="8">
        <f>VLOOKUP(Tabla1120[[#This Row],[año]],Tabla1[],4,FALSE)</f>
        <v>294969.6113683327</v>
      </c>
      <c r="G109" s="8">
        <v>0</v>
      </c>
      <c r="H109" s="8">
        <f>Tabla1120[[#This Row],[Cuota]]-Tabla1120[[#This Row],[Valor Pagado ]]</f>
        <v>294969.6113683327</v>
      </c>
      <c r="I109" s="51">
        <f>IF(Tabla1120[[#This Row],[Valor Pagado ]]&gt;=Tabla1120[[#This Row],[Cuota]],0,Tabla1120[[#This Row],[Cuota]]*$M$3)</f>
        <v>1474.8480568416635</v>
      </c>
      <c r="J109" s="8">
        <f>Tabla1120[[#This Row],[Subsaldo]]+Tabla1120[[#This Row],[Interes]]</f>
        <v>296444.45942517434</v>
      </c>
    </row>
    <row r="110" spans="3:13" ht="15.75" customHeight="1">
      <c r="C110" s="5">
        <v>2021</v>
      </c>
      <c r="D110" s="49">
        <v>44256</v>
      </c>
      <c r="E110" s="50">
        <v>44260</v>
      </c>
      <c r="F110" s="8">
        <f>VLOOKUP(Tabla1120[[#This Row],[año]],Tabla1[],4,FALSE)</f>
        <v>294969.6113683327</v>
      </c>
      <c r="G110" s="8">
        <v>0</v>
      </c>
      <c r="H110" s="8">
        <f>Tabla1120[[#This Row],[Cuota]]-Tabla1120[[#This Row],[Valor Pagado ]]</f>
        <v>294969.6113683327</v>
      </c>
      <c r="I110" s="51">
        <f>IF(Tabla1120[[#This Row],[Valor Pagado ]]&gt;=Tabla1120[[#This Row],[Cuota]],0,Tabla1120[[#This Row],[Cuota]]*$M$3)</f>
        <v>1474.8480568416635</v>
      </c>
      <c r="J110" s="8">
        <f>Tabla1120[[#This Row],[Subsaldo]]+Tabla1120[[#This Row],[Interes]]</f>
        <v>296444.45942517434</v>
      </c>
    </row>
    <row r="111" spans="3:13" ht="15.75" customHeight="1">
      <c r="C111" s="5">
        <v>2021</v>
      </c>
      <c r="D111" s="49">
        <v>44287</v>
      </c>
      <c r="E111" s="50">
        <v>44291</v>
      </c>
      <c r="F111" s="8">
        <f>VLOOKUP(Tabla1120[[#This Row],[año]],Tabla1[],4,FALSE)</f>
        <v>294969.6113683327</v>
      </c>
      <c r="G111" s="8">
        <v>0</v>
      </c>
      <c r="H111" s="8">
        <f>Tabla1120[[#This Row],[Cuota]]-Tabla1120[[#This Row],[Valor Pagado ]]</f>
        <v>294969.6113683327</v>
      </c>
      <c r="I111" s="51">
        <f>IF(Tabla1120[[#This Row],[Valor Pagado ]]&gt;=Tabla1120[[#This Row],[Cuota]],0,Tabla1120[[#This Row],[Cuota]]*$M$3)</f>
        <v>1474.8480568416635</v>
      </c>
      <c r="J111" s="8">
        <f>Tabla1120[[#This Row],[Subsaldo]]+Tabla1120[[#This Row],[Interes]]</f>
        <v>296444.45942517434</v>
      </c>
    </row>
    <row r="112" spans="3:13" ht="14">
      <c r="C112" s="5">
        <v>2021</v>
      </c>
      <c r="D112" s="49">
        <v>44317</v>
      </c>
      <c r="E112" s="50">
        <v>44321</v>
      </c>
      <c r="F112" s="8">
        <f>VLOOKUP(Tabla1120[[#This Row],[año]],Tabla1[],4,FALSE)</f>
        <v>294969.6113683327</v>
      </c>
      <c r="G112" s="8">
        <v>0</v>
      </c>
      <c r="H112" s="8">
        <f>Tabla1120[[#This Row],[Cuota]]-Tabla1120[[#This Row],[Valor Pagado ]]</f>
        <v>294969.6113683327</v>
      </c>
      <c r="I112" s="51">
        <f>IF(Tabla1120[[#This Row],[Valor Pagado ]]&gt;=Tabla1120[[#This Row],[Cuota]],0,Tabla1120[[#This Row],[Cuota]]*$M$3)</f>
        <v>1474.8480568416635</v>
      </c>
      <c r="J112" s="8">
        <f>Tabla1120[[#This Row],[Subsaldo]]+Tabla1120[[#This Row],[Interes]]</f>
        <v>296444.45942517434</v>
      </c>
    </row>
    <row r="113" spans="3:13" ht="15.65" customHeight="1">
      <c r="C113" s="5">
        <v>2021</v>
      </c>
      <c r="D113" s="49">
        <v>44348</v>
      </c>
      <c r="E113" s="50">
        <v>44352</v>
      </c>
      <c r="F113" s="8">
        <f>VLOOKUP(Tabla1120[[#This Row],[año]],Tabla1[],4,FALSE)</f>
        <v>294969.6113683327</v>
      </c>
      <c r="G113" s="8">
        <v>0</v>
      </c>
      <c r="H113" s="8">
        <f>Tabla1120[[#This Row],[Cuota]]-Tabla1120[[#This Row],[Valor Pagado ]]</f>
        <v>294969.6113683327</v>
      </c>
      <c r="I113" s="51">
        <f>IF(Tabla1120[[#This Row],[Valor Pagado ]]&gt;=Tabla1120[[#This Row],[Cuota]],0,Tabla1120[[#This Row],[Cuota]]*$M$3)</f>
        <v>1474.8480568416635</v>
      </c>
      <c r="J113" s="8">
        <f>Tabla1120[[#This Row],[Subsaldo]]+Tabla1120[[#This Row],[Interes]]</f>
        <v>296444.45942517434</v>
      </c>
    </row>
    <row r="114" spans="3:13" ht="15.75" customHeight="1">
      <c r="C114" s="9" t="s">
        <v>0</v>
      </c>
      <c r="H114" s="8">
        <f>SUM(Tabla1120[Subsaldo])</f>
        <v>1769817.6682099963</v>
      </c>
      <c r="I114" s="51">
        <f>(Tabla1120[[#Totals],[Subsaldo]]*(M3*COUNTIF(Tabla1120[Subsaldo],"&gt;0")))+Tabla1019[[#Totals],[Interes]]+Tabla1019[[#Totals],[Interes]]*M4</f>
        <v>1259478.4335663333</v>
      </c>
      <c r="J114" s="8">
        <f>Tabla1120[[#Totals],[Subsaldo]]+Tabla1120[[#Totals],[Interes]]</f>
        <v>3029296.1017763298</v>
      </c>
      <c r="L114" s="56" t="s">
        <v>47</v>
      </c>
      <c r="M114" s="8">
        <f>M105+Tabla1120[[#Totals],[Saldo]]</f>
        <v>18888305.150443554</v>
      </c>
    </row>
    <row r="115" spans="3:13" ht="15.75" customHeight="1">
      <c r="L115" s="56" t="s">
        <v>48</v>
      </c>
      <c r="M115" s="51">
        <f>M114-1440000</f>
        <v>17448305.150443554</v>
      </c>
    </row>
    <row r="116" spans="3:13" ht="19.5" customHeight="1"/>
    <row r="117" spans="3:13" ht="15.75" customHeight="1"/>
    <row r="118" spans="3:13" ht="15.75" customHeight="1"/>
    <row r="119" spans="3:13" ht="15.75" customHeight="1"/>
    <row r="120" spans="3:13" ht="15.75" customHeight="1"/>
    <row r="121" spans="3:13" ht="15.75" customHeight="1"/>
    <row r="122" spans="3:13" ht="15.75" customHeight="1"/>
    <row r="123" spans="3:13" ht="15.75" customHeight="1"/>
    <row r="124" spans="3:13" ht="15.75" customHeight="1"/>
    <row r="125" spans="3:13" ht="15.75" customHeight="1"/>
    <row r="126" spans="3:13" ht="15.75" customHeight="1"/>
    <row r="127" spans="3:13" ht="15.75" customHeight="1"/>
    <row r="128" spans="3:13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</sheetData>
  <pageMargins left="0.7" right="0.7" top="0.75" bottom="0.75" header="0" footer="0"/>
  <pageSetup paperSize="9" orientation="portrait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Liquidación</vt:lpstr>
      <vt:lpstr>T. Incremento</vt:lpstr>
      <vt:lpstr>hoja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andrea carolina vera anteliz</cp:lastModifiedBy>
  <dcterms:created xsi:type="dcterms:W3CDTF">2020-02-21T19:43:47Z</dcterms:created>
  <dcterms:modified xsi:type="dcterms:W3CDTF">2021-07-12T23:00:46Z</dcterms:modified>
</cp:coreProperties>
</file>