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ra Guerrerog\2021\"/>
    </mc:Choice>
  </mc:AlternateContent>
  <xr:revisionPtr revIDLastSave="0" documentId="11_ABB4EE35BAB786C563710251614AD33CCA0ECFFD" xr6:coauthVersionLast="47" xr6:coauthVersionMax="47" xr10:uidLastSave="{00000000-0000-0000-0000-000000000000}"/>
  <bookViews>
    <workbookView xWindow="0" yWindow="0" windowWidth="24000" windowHeight="9735" firstSheet="3" activeTab="3" xr2:uid="{00000000-000D-0000-FFFF-FFFF00000000}"/>
  </bookViews>
  <sheets>
    <sheet name="LIQUIDACION UVR" sheetId="1" r:id="rId1"/>
    <sheet name="Hoja1" sheetId="8" r:id="rId2"/>
    <sheet name="Hoja2 (2)" sheetId="10" r:id="rId3"/>
    <sheet name="LIQUIDACION UVR (2)" sheetId="7" r:id="rId4"/>
    <sheet name="Hoja2" sheetId="9" r:id="rId5"/>
  </sheets>
  <definedNames>
    <definedName name="_xlnm.Print_Area" localSheetId="3">'LIQUIDACION UVR (2)'!$A$1:$N$36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7" l="1"/>
  <c r="I29" i="7" s="1"/>
  <c r="F29" i="7"/>
  <c r="B29" i="7"/>
  <c r="D29" i="7" s="1"/>
  <c r="I28" i="7"/>
  <c r="F28" i="7"/>
  <c r="D28" i="7"/>
  <c r="L28" i="7" s="1"/>
  <c r="N28" i="7" s="1"/>
  <c r="H22" i="7"/>
  <c r="I22" i="7" s="1"/>
  <c r="F22" i="7"/>
  <c r="D22" i="7"/>
  <c r="I21" i="7"/>
  <c r="F21" i="7"/>
  <c r="D21" i="7"/>
  <c r="K21" i="7" s="1"/>
  <c r="I20" i="7"/>
  <c r="F20" i="7"/>
  <c r="D20" i="7"/>
  <c r="L20" i="7" s="1"/>
  <c r="N20" i="7" s="1"/>
  <c r="N23" i="7" s="1"/>
  <c r="H17" i="7"/>
  <c r="I17" i="7" s="1"/>
  <c r="F17" i="7"/>
  <c r="D17" i="7"/>
  <c r="I16" i="7"/>
  <c r="F16" i="7"/>
  <c r="D16" i="7"/>
  <c r="K16" i="7" s="1"/>
  <c r="N16" i="7" s="1"/>
  <c r="I15" i="7"/>
  <c r="F15" i="7"/>
  <c r="D15" i="7"/>
  <c r="L15" i="7" s="1"/>
  <c r="N15" i="7" s="1"/>
  <c r="H12" i="7"/>
  <c r="I12" i="7" s="1"/>
  <c r="F12" i="7"/>
  <c r="D12" i="7"/>
  <c r="I11" i="7"/>
  <c r="F11" i="7"/>
  <c r="D11" i="7"/>
  <c r="K11" i="7" s="1"/>
  <c r="N11" i="7" s="1"/>
  <c r="I10" i="7"/>
  <c r="F10" i="7"/>
  <c r="D10" i="7"/>
  <c r="L10" i="7" s="1"/>
  <c r="N10" i="7" s="1"/>
  <c r="H7" i="7"/>
  <c r="I7" i="7" s="1"/>
  <c r="F7" i="7"/>
  <c r="D7" i="7"/>
  <c r="I6" i="7"/>
  <c r="F6" i="7"/>
  <c r="D6" i="7"/>
  <c r="K6" i="7" s="1"/>
  <c r="N6" i="7" s="1"/>
  <c r="I5" i="7"/>
  <c r="F5" i="7"/>
  <c r="D5" i="7"/>
  <c r="L5" i="7" s="1"/>
  <c r="N5" i="7" s="1"/>
  <c r="N40" i="1"/>
  <c r="N39" i="1"/>
  <c r="N38" i="1"/>
  <c r="N37" i="1"/>
  <c r="N41" i="1" s="1"/>
  <c r="M29" i="1"/>
  <c r="M28" i="1"/>
  <c r="M27" i="1"/>
  <c r="M30" i="1" s="1"/>
  <c r="N30" i="1" s="1"/>
  <c r="P23" i="1"/>
  <c r="H23" i="1"/>
  <c r="I23" i="1" s="1"/>
  <c r="E23" i="1"/>
  <c r="F23" i="1" s="1"/>
  <c r="B23" i="1"/>
  <c r="D23" i="1" s="1"/>
  <c r="J23" i="1" s="1"/>
  <c r="N23" i="1" s="1"/>
  <c r="I22" i="1"/>
  <c r="F22" i="1"/>
  <c r="D22" i="1"/>
  <c r="L22" i="1" s="1"/>
  <c r="N22" i="1" s="1"/>
  <c r="M19" i="1"/>
  <c r="L19" i="1"/>
  <c r="P18" i="1"/>
  <c r="H18" i="1"/>
  <c r="I18" i="1" s="1"/>
  <c r="E18" i="1"/>
  <c r="F18" i="1" s="1"/>
  <c r="B18" i="1"/>
  <c r="D18" i="1" s="1"/>
  <c r="J18" i="1" s="1"/>
  <c r="I17" i="1"/>
  <c r="F17" i="1"/>
  <c r="D17" i="1"/>
  <c r="K17" i="1" s="1"/>
  <c r="I16" i="1"/>
  <c r="F16" i="1"/>
  <c r="D16" i="1"/>
  <c r="L16" i="1" s="1"/>
  <c r="N16" i="1" s="1"/>
  <c r="P14" i="1"/>
  <c r="H14" i="1"/>
  <c r="I14" i="1" s="1"/>
  <c r="F14" i="1"/>
  <c r="B14" i="1"/>
  <c r="D14" i="1" s="1"/>
  <c r="J14" i="1" s="1"/>
  <c r="N14" i="1" s="1"/>
  <c r="I13" i="1"/>
  <c r="F13" i="1"/>
  <c r="D13" i="1"/>
  <c r="K13" i="1" s="1"/>
  <c r="N13" i="1" s="1"/>
  <c r="I12" i="1"/>
  <c r="F12" i="1"/>
  <c r="D12" i="1"/>
  <c r="L12" i="1" s="1"/>
  <c r="N12" i="1" s="1"/>
  <c r="N15" i="1" s="1"/>
  <c r="P10" i="1"/>
  <c r="H10" i="1"/>
  <c r="I10" i="1" s="1"/>
  <c r="F10" i="1"/>
  <c r="D10" i="1"/>
  <c r="J10" i="1" s="1"/>
  <c r="N10" i="1" s="1"/>
  <c r="I9" i="1"/>
  <c r="F9" i="1"/>
  <c r="D9" i="1"/>
  <c r="K9" i="1" s="1"/>
  <c r="N9" i="1" s="1"/>
  <c r="I8" i="1"/>
  <c r="F8" i="1"/>
  <c r="D8" i="1"/>
  <c r="L8" i="1" s="1"/>
  <c r="N8" i="1" s="1"/>
  <c r="P6" i="1"/>
  <c r="H6" i="1"/>
  <c r="I6" i="1" s="1"/>
  <c r="F6" i="1"/>
  <c r="C6" i="1"/>
  <c r="B6" i="1"/>
  <c r="D6" i="1" s="1"/>
  <c r="J6" i="1" s="1"/>
  <c r="I5" i="1"/>
  <c r="F5" i="1"/>
  <c r="D5" i="1"/>
  <c r="K5" i="1" s="1"/>
  <c r="I4" i="1"/>
  <c r="F4" i="1"/>
  <c r="D4" i="1"/>
  <c r="L4" i="1" s="1"/>
  <c r="N4" i="1" s="1"/>
  <c r="K25" i="7" l="1"/>
  <c r="N33" i="7" s="1"/>
  <c r="J12" i="7"/>
  <c r="N12" i="7" s="1"/>
  <c r="N13" i="7" s="1"/>
  <c r="J29" i="7"/>
  <c r="J22" i="7"/>
  <c r="J7" i="7"/>
  <c r="N7" i="7" s="1"/>
  <c r="J17" i="7"/>
  <c r="N17" i="7" s="1"/>
  <c r="N18" i="7" s="1"/>
  <c r="J19" i="1"/>
  <c r="N6" i="1"/>
  <c r="N11" i="1"/>
  <c r="N32" i="7"/>
  <c r="K19" i="1"/>
  <c r="N24" i="1"/>
  <c r="N5" i="1"/>
  <c r="N7" i="1" s="1"/>
  <c r="N29" i="7" l="1"/>
  <c r="N30" i="7" s="1"/>
  <c r="N34" i="7"/>
  <c r="N35" i="7" s="1"/>
  <c r="N8" i="7"/>
  <c r="N19" i="1"/>
  <c r="J25" i="1" l="1"/>
  <c r="N20" i="1"/>
  <c r="N26" i="1" s="1"/>
  <c r="N31" i="1" s="1"/>
  <c r="N25" i="7" l="1"/>
</calcChain>
</file>

<file path=xl/sharedStrings.xml><?xml version="1.0" encoding="utf-8"?>
<sst xmlns="http://schemas.openxmlformats.org/spreadsheetml/2006/main" count="61" uniqueCount="42">
  <si>
    <t>Liquidación de proceso No.500013103003-200700099-00, de conformidad con la sentencia del 05 de diciembre de 2017, emitida por el Juzgado Segundo Civil del Circuito de Villavicencio, vista a folios 439 al 447 C2 del expediente .</t>
  </si>
  <si>
    <t>FECHA</t>
  </si>
  <si>
    <t>CUOTA UVR</t>
  </si>
  <si>
    <t>VALOR UVR</t>
  </si>
  <si>
    <t>V/R CUOTA PENDIENTES</t>
  </si>
  <si>
    <t>DIAS DE MORA  HASTA EL 12/03/2018</t>
  </si>
  <si>
    <t>MESES EN MORA</t>
  </si>
  <si>
    <t>TASA EFECTIVA ANUAL</t>
  </si>
  <si>
    <t>TASA EFECTIVA MORATORIA</t>
  </si>
  <si>
    <t>TASA DE MORA NOM. MENSUAL</t>
  </si>
  <si>
    <t>INTERESES MORATORIO</t>
  </si>
  <si>
    <t>INTERES CORRIENTE</t>
  </si>
  <si>
    <t>VALOR CUOTA PENDIENTE EN  PESOS</t>
  </si>
  <si>
    <t>ABONOS</t>
  </si>
  <si>
    <t xml:space="preserve">TOTAL ADEUDADO EN PESOS </t>
  </si>
  <si>
    <t>SUBTOTAL CUOTA DE JULIO DE 2017</t>
  </si>
  <si>
    <t>SUBTOTAL CUOTA DE AGOSTO DE 2017</t>
  </si>
  <si>
    <t>SUBTOTAL CUOTA DE SEPTIEMBRE DE 2017</t>
  </si>
  <si>
    <t>SUBTOTAL INTERESES</t>
  </si>
  <si>
    <t>SUBTOTAL CUOTA DE OCTUBRE DE 2017</t>
  </si>
  <si>
    <t>SUBTOTAL CAPITAL INSOLUTO DE 2017</t>
  </si>
  <si>
    <t>TOTAL  INTERESES</t>
  </si>
  <si>
    <t>SUBTOTAL HASTA OCTUBRE 28 DE 2017</t>
  </si>
  <si>
    <t>ABONO MES DE NOVIEMBRE DE 2017</t>
  </si>
  <si>
    <t>ABONO MES DE DICIEMBRE DE 2017</t>
  </si>
  <si>
    <t>ABONO MES DE MARZO DE 2018</t>
  </si>
  <si>
    <t>SUBTOTAL ABONOS</t>
  </si>
  <si>
    <t>TOTAL DEUDA HIPOTECARIA</t>
  </si>
  <si>
    <t>La liquidación de las cuotas, se realizó con cada capital mencionado en cada uno de sus item desde la fecha mencionada hasta el 12 de marzo de 2018; es de aclarar que esta liquidación corrige la presentada por el apoderado de la parte ejecutante en el sentido que este cogio el interés del 9,72% efectiva anual, de conformidad al auto de fecha del 18 de junio de 2018, visto a folio 72 del expediente.; y adicionalmente se le resto los abonos efectuados por la parte ejecutada.</t>
  </si>
  <si>
    <t>En relación a la cuantía de $7.971.000, por concepto de capital insoluto del pagaré No.053002479-2, se liquidó teniendo en cuenta el interés moratorio mes a mes que presenta la superfinanciera desde el period comprendido entre el 25 de enero de 1999 al 28 de mayo de 2018. Lo anterior debido a que de este pagaré no se canceló ningún valor.</t>
  </si>
  <si>
    <t>RESUMEN DEUDA EJECUTIVO</t>
  </si>
  <si>
    <t>INTERESES DE MORA CUOTAS DE CAPITAL DESDE EL 25/04/2004 AL 28/05/2018</t>
  </si>
  <si>
    <t>INTERES DE MORA CAPITAL ACELERADO DEL 11/04/2007 AL 28/05/2018</t>
  </si>
  <si>
    <t>CAPITAL CUOTAS VENCIDAS MAS CAPITAL ACELERADO</t>
  </si>
  <si>
    <t>CAPITAL INSOLUTO MAS INTERESES MORATORIOS DEL PAGARÉ NO.053002479-2</t>
  </si>
  <si>
    <t xml:space="preserve">TOTAL LIQUIDACIÓN </t>
  </si>
  <si>
    <t>DIAS DE MORA  HASTA EL 15/03/2021</t>
  </si>
  <si>
    <t>25,733,00</t>
  </si>
  <si>
    <t xml:space="preserve">SUBTOTAL INTERESES </t>
  </si>
  <si>
    <t>Subtotal capita</t>
  </si>
  <si>
    <t>Subtotal intereses de plazo</t>
  </si>
  <si>
    <t>Subtotal intereses de 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</si>
</sst>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[$$]\ #,##0.0000;\-[$$]\ #,##0.0000"/>
    <numFmt numFmtId="167" formatCode="#,##0.0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2F5F9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10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0" fillId="0" borderId="1" xfId="0" applyNumberFormat="1" applyBorder="1"/>
    <xf numFmtId="166" fontId="0" fillId="3" borderId="1" xfId="0" applyNumberFormat="1" applyFill="1" applyBorder="1" applyAlignment="1">
      <alignment horizontal="right" vertical="center" wrapText="1"/>
    </xf>
    <xf numFmtId="10" fontId="0" fillId="0" borderId="1" xfId="0" applyNumberFormat="1" applyBorder="1"/>
    <xf numFmtId="166" fontId="0" fillId="2" borderId="1" xfId="0" applyNumberFormat="1" applyFill="1" applyBorder="1" applyAlignment="1">
      <alignment horizontal="right" vertical="center" wrapText="1"/>
    </xf>
    <xf numFmtId="0" fontId="0" fillId="0" borderId="1" xfId="0" applyBorder="1"/>
    <xf numFmtId="14" fontId="0" fillId="0" borderId="5" xfId="0" applyNumberFormat="1" applyBorder="1"/>
    <xf numFmtId="165" fontId="2" fillId="0" borderId="6" xfId="1" applyFont="1" applyBorder="1" applyAlignment="1">
      <alignment horizontal="center"/>
    </xf>
    <xf numFmtId="14" fontId="0" fillId="3" borderId="5" xfId="0" applyNumberFormat="1" applyFill="1" applyBorder="1" applyAlignment="1">
      <alignment horizontal="right" vertical="center" wrapText="1"/>
    </xf>
    <xf numFmtId="14" fontId="0" fillId="2" borderId="5" xfId="0" applyNumberFormat="1" applyFill="1" applyBorder="1" applyAlignment="1">
      <alignment horizontal="right" vertical="center" wrapText="1"/>
    </xf>
    <xf numFmtId="0" fontId="0" fillId="0" borderId="8" xfId="0" applyBorder="1"/>
    <xf numFmtId="165" fontId="3" fillId="0" borderId="9" xfId="1" applyFont="1" applyBorder="1" applyAlignment="1">
      <alignment horizontal="center"/>
    </xf>
    <xf numFmtId="0" fontId="0" fillId="0" borderId="3" xfId="0" applyBorder="1"/>
    <xf numFmtId="165" fontId="0" fillId="0" borderId="4" xfId="0" applyNumberFormat="1" applyBorder="1"/>
    <xf numFmtId="165" fontId="0" fillId="0" borderId="6" xfId="0" applyNumberFormat="1" applyBorder="1"/>
    <xf numFmtId="4" fontId="0" fillId="0" borderId="6" xfId="0" applyNumberFormat="1" applyBorder="1"/>
    <xf numFmtId="165" fontId="0" fillId="0" borderId="6" xfId="1" applyFont="1" applyBorder="1"/>
    <xf numFmtId="165" fontId="4" fillId="0" borderId="9" xfId="0" applyNumberFormat="1" applyFont="1" applyBorder="1"/>
    <xf numFmtId="0" fontId="4" fillId="0" borderId="2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0" fillId="0" borderId="0" xfId="0" applyNumberFormat="1"/>
    <xf numFmtId="0" fontId="4" fillId="0" borderId="16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/>
    </xf>
    <xf numFmtId="0" fontId="0" fillId="0" borderId="10" xfId="0" applyBorder="1"/>
    <xf numFmtId="0" fontId="0" fillId="0" borderId="17" xfId="0" applyBorder="1"/>
    <xf numFmtId="0" fontId="0" fillId="0" borderId="16" xfId="0" applyBorder="1"/>
    <xf numFmtId="165" fontId="3" fillId="0" borderId="6" xfId="1" applyFont="1" applyBorder="1" applyAlignment="1">
      <alignment horizontal="center"/>
    </xf>
    <xf numFmtId="165" fontId="2" fillId="0" borderId="10" xfId="1" applyFont="1" applyBorder="1" applyAlignment="1">
      <alignment horizontal="center"/>
    </xf>
    <xf numFmtId="167" fontId="0" fillId="0" borderId="1" xfId="0" applyNumberFormat="1" applyBorder="1"/>
    <xf numFmtId="2" fontId="2" fillId="0" borderId="11" xfId="0" applyNumberFormat="1" applyFont="1" applyBorder="1" applyAlignment="1">
      <alignment horizontal="center"/>
    </xf>
    <xf numFmtId="165" fontId="2" fillId="0" borderId="1" xfId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165" fontId="3" fillId="0" borderId="20" xfId="1" applyFont="1" applyBorder="1" applyAlignment="1">
      <alignment horizontal="center"/>
    </xf>
    <xf numFmtId="14" fontId="0" fillId="0" borderId="2" xfId="0" applyNumberFormat="1" applyBorder="1"/>
    <xf numFmtId="167" fontId="0" fillId="0" borderId="3" xfId="0" applyNumberFormat="1" applyBorder="1"/>
    <xf numFmtId="4" fontId="0" fillId="0" borderId="3" xfId="0" applyNumberFormat="1" applyBorder="1"/>
    <xf numFmtId="10" fontId="0" fillId="0" borderId="3" xfId="0" applyNumberFormat="1" applyBorder="1"/>
    <xf numFmtId="10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165" fontId="2" fillId="0" borderId="16" xfId="1" applyFont="1" applyBorder="1" applyAlignment="1">
      <alignment horizontal="center"/>
    </xf>
    <xf numFmtId="165" fontId="2" fillId="0" borderId="4" xfId="1" applyFont="1" applyBorder="1" applyAlignment="1">
      <alignment horizontal="center"/>
    </xf>
    <xf numFmtId="165" fontId="3" fillId="0" borderId="4" xfId="1" applyFont="1" applyBorder="1" applyAlignment="1">
      <alignment horizontal="center"/>
    </xf>
    <xf numFmtId="164" fontId="0" fillId="0" borderId="0" xfId="0" applyNumberFormat="1"/>
    <xf numFmtId="165" fontId="3" fillId="0" borderId="28" xfId="1" applyFont="1" applyBorder="1" applyAlignment="1">
      <alignment horizontal="center"/>
    </xf>
    <xf numFmtId="4" fontId="4" fillId="0" borderId="24" xfId="0" applyNumberFormat="1" applyFont="1" applyBorder="1" applyAlignment="1"/>
    <xf numFmtId="4" fontId="4" fillId="0" borderId="25" xfId="0" applyNumberFormat="1" applyFont="1" applyBorder="1" applyAlignment="1"/>
    <xf numFmtId="4" fontId="4" fillId="0" borderId="26" xfId="0" applyNumberFormat="1" applyFont="1" applyBorder="1" applyAlignment="1"/>
    <xf numFmtId="4" fontId="4" fillId="0" borderId="18" xfId="0" applyNumberFormat="1" applyFont="1" applyBorder="1" applyAlignment="1"/>
    <xf numFmtId="4" fontId="4" fillId="0" borderId="11" xfId="0" applyNumberFormat="1" applyFont="1" applyBorder="1" applyAlignment="1"/>
    <xf numFmtId="4" fontId="4" fillId="0" borderId="12" xfId="0" applyNumberFormat="1" applyFont="1" applyBorder="1" applyAlignment="1"/>
    <xf numFmtId="165" fontId="2" fillId="0" borderId="6" xfId="1" applyFont="1" applyBorder="1" applyAlignment="1">
      <alignment horizontal="right"/>
    </xf>
    <xf numFmtId="14" fontId="0" fillId="0" borderId="12" xfId="0" applyNumberFormat="1" applyBorder="1" applyAlignment="1">
      <alignment horizontal="center"/>
    </xf>
    <xf numFmtId="165" fontId="3" fillId="0" borderId="6" xfId="1" applyFont="1" applyBorder="1" applyAlignment="1">
      <alignment horizontal="right"/>
    </xf>
    <xf numFmtId="4" fontId="4" fillId="0" borderId="29" xfId="0" applyNumberFormat="1" applyFont="1" applyBorder="1" applyAlignment="1">
      <alignment horizontal="center"/>
    </xf>
    <xf numFmtId="4" fontId="4" fillId="0" borderId="30" xfId="0" applyNumberFormat="1" applyFont="1" applyBorder="1" applyAlignment="1">
      <alignment horizontal="center"/>
    </xf>
    <xf numFmtId="0" fontId="0" fillId="0" borderId="0" xfId="0" applyFont="1" applyAlignment="1">
      <alignment horizontal="right" vertical="center"/>
    </xf>
    <xf numFmtId="43" fontId="0" fillId="0" borderId="0" xfId="0" applyNumberFormat="1"/>
    <xf numFmtId="0" fontId="0" fillId="0" borderId="1" xfId="0" applyBorder="1" applyAlignment="1">
      <alignment horizontal="center"/>
    </xf>
    <xf numFmtId="4" fontId="4" fillId="0" borderId="18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4" fontId="0" fillId="0" borderId="11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4" fontId="4" fillId="0" borderId="22" xfId="0" applyNumberFormat="1" applyFont="1" applyBorder="1" applyAlignment="1">
      <alignment horizontal="center"/>
    </xf>
    <xf numFmtId="4" fontId="4" fillId="0" borderId="8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4" fontId="0" fillId="0" borderId="18" xfId="0" applyNumberFormat="1" applyFont="1" applyBorder="1" applyAlignment="1">
      <alignment horizontal="center"/>
    </xf>
    <xf numFmtId="4" fontId="0" fillId="0" borderId="1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4" fontId="4" fillId="0" borderId="18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4" borderId="13" xfId="0" applyFill="1" applyBorder="1" applyAlignment="1">
      <alignment horizontal="justify" vertical="top" wrapText="1"/>
    </xf>
    <xf numFmtId="0" fontId="0" fillId="4" borderId="14" xfId="0" applyFill="1" applyBorder="1" applyAlignment="1">
      <alignment horizontal="justify" vertical="top" wrapText="1"/>
    </xf>
    <xf numFmtId="0" fontId="0" fillId="4" borderId="15" xfId="0" applyFill="1" applyBorder="1" applyAlignment="1">
      <alignment horizontal="justify" vertical="top" wrapText="1"/>
    </xf>
    <xf numFmtId="0" fontId="0" fillId="0" borderId="13" xfId="0" applyBorder="1" applyAlignment="1">
      <alignment horizontal="justify" vertical="top" wrapText="1"/>
    </xf>
    <xf numFmtId="0" fontId="0" fillId="0" borderId="14" xfId="0" applyBorder="1" applyAlignment="1">
      <alignment horizontal="justify" vertical="top" wrapText="1"/>
    </xf>
    <xf numFmtId="0" fontId="0" fillId="0" borderId="15" xfId="0" applyBorder="1" applyAlignment="1">
      <alignment horizontal="justify" vertical="top" wrapText="1"/>
    </xf>
    <xf numFmtId="14" fontId="0" fillId="0" borderId="18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4" fontId="4" fillId="0" borderId="21" xfId="0" applyNumberFormat="1" applyFont="1" applyBorder="1" applyAlignment="1">
      <alignment horizontal="left"/>
    </xf>
    <xf numFmtId="4" fontId="4" fillId="0" borderId="22" xfId="0" applyNumberFormat="1" applyFont="1" applyBorder="1" applyAlignment="1">
      <alignment horizontal="left"/>
    </xf>
    <xf numFmtId="4" fontId="4" fillId="0" borderId="23" xfId="0" applyNumberFormat="1" applyFont="1" applyBorder="1" applyAlignment="1">
      <alignment horizontal="left"/>
    </xf>
    <xf numFmtId="4" fontId="4" fillId="0" borderId="21" xfId="0" applyNumberFormat="1" applyFont="1" applyBorder="1" applyAlignment="1">
      <alignment horizontal="center"/>
    </xf>
    <xf numFmtId="4" fontId="4" fillId="0" borderId="22" xfId="0" applyNumberFormat="1" applyFont="1" applyBorder="1" applyAlignment="1">
      <alignment horizontal="center"/>
    </xf>
    <xf numFmtId="4" fontId="4" fillId="0" borderId="23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0" fillId="0" borderId="13" xfId="0" applyFill="1" applyBorder="1" applyAlignment="1">
      <alignment horizontal="justify" vertical="top" wrapText="1"/>
    </xf>
    <xf numFmtId="0" fontId="0" fillId="0" borderId="14" xfId="0" applyFill="1" applyBorder="1" applyAlignment="1">
      <alignment horizontal="justify" vertical="top" wrapText="1"/>
    </xf>
    <xf numFmtId="0" fontId="0" fillId="0" borderId="15" xfId="0" applyFill="1" applyBorder="1" applyAlignment="1">
      <alignment horizontal="justify" vertical="top" wrapText="1"/>
    </xf>
    <xf numFmtId="4" fontId="4" fillId="0" borderId="7" xfId="0" applyNumberFormat="1" applyFont="1" applyBorder="1" applyAlignment="1">
      <alignment horizontal="center"/>
    </xf>
    <xf numFmtId="4" fontId="4" fillId="0" borderId="8" xfId="0" applyNumberFormat="1" applyFont="1" applyBorder="1" applyAlignment="1">
      <alignment horizontal="center"/>
    </xf>
  </cellXfs>
  <cellStyles count="3">
    <cellStyle name="Millares" xfId="1" builtinId="3"/>
    <cellStyle name="Normal" xfId="0" builtinId="0"/>
    <cellStyle name="Porcentu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zoomScaleNormal="100" workbookViewId="0">
      <pane xSplit="1" ySplit="3" topLeftCell="B4" activePane="bottomRight" state="frozen"/>
      <selection pane="bottomRight" activeCell="L20" sqref="L20"/>
      <selection pane="bottomLeft" activeCell="A4" sqref="A4"/>
      <selection pane="topRight" activeCell="B1" sqref="B1"/>
    </sheetView>
  </sheetViews>
  <sheetFormatPr defaultColWidth="11.42578125" defaultRowHeight="15"/>
  <cols>
    <col min="2" max="2" width="15.85546875" style="1" customWidth="1"/>
    <col min="4" max="4" width="15.140625" style="1" customWidth="1"/>
    <col min="5" max="5" width="13.85546875" style="2" customWidth="1"/>
    <col min="6" max="6" width="0" style="1" hidden="1" customWidth="1"/>
    <col min="7" max="7" width="13.5703125" bestFit="1" customWidth="1"/>
    <col min="8" max="8" width="14.5703125" customWidth="1"/>
    <col min="9" max="9" width="13.140625" hidden="1" customWidth="1"/>
    <col min="10" max="10" width="16.7109375" customWidth="1"/>
    <col min="11" max="11" width="14.42578125" bestFit="1" customWidth="1"/>
    <col min="12" max="12" width="17.140625" customWidth="1"/>
    <col min="13" max="13" width="14.85546875" customWidth="1"/>
    <col min="14" max="14" width="16.85546875" customWidth="1"/>
    <col min="15" max="15" width="13.140625" customWidth="1"/>
    <col min="16" max="16" width="14" customWidth="1"/>
    <col min="17" max="17" width="13.140625" customWidth="1"/>
  </cols>
  <sheetData>
    <row r="1" spans="1:17" ht="51" customHeight="1" thickBot="1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/>
    </row>
    <row r="2" spans="1:17" ht="15.75" thickBot="1"/>
    <row r="3" spans="1:17" ht="45">
      <c r="A3" s="24" t="s">
        <v>1</v>
      </c>
      <c r="B3" s="25" t="s">
        <v>2</v>
      </c>
      <c r="C3" s="26" t="s">
        <v>3</v>
      </c>
      <c r="D3" s="25" t="s">
        <v>4</v>
      </c>
      <c r="E3" s="26" t="s">
        <v>5</v>
      </c>
      <c r="F3" s="25" t="s">
        <v>6</v>
      </c>
      <c r="G3" s="26" t="s">
        <v>7</v>
      </c>
      <c r="H3" s="25" t="s">
        <v>8</v>
      </c>
      <c r="I3" s="26" t="s">
        <v>9</v>
      </c>
      <c r="J3" s="29" t="s">
        <v>10</v>
      </c>
      <c r="K3" s="29" t="s">
        <v>11</v>
      </c>
      <c r="L3" s="29" t="s">
        <v>12</v>
      </c>
      <c r="M3" s="29" t="s">
        <v>13</v>
      </c>
      <c r="N3" s="27" t="s">
        <v>14</v>
      </c>
      <c r="O3" s="3"/>
    </row>
    <row r="4" spans="1:17">
      <c r="A4" s="12">
        <v>42934</v>
      </c>
      <c r="B4" s="36">
        <v>1714.3059000000001</v>
      </c>
      <c r="C4" s="8">
        <v>251.51519999999999</v>
      </c>
      <c r="D4" s="7">
        <f>+ROUND((B4*C4),0)</f>
        <v>431174</v>
      </c>
      <c r="E4" s="67">
        <v>0</v>
      </c>
      <c r="F4" s="7">
        <f>+E4/30</f>
        <v>0</v>
      </c>
      <c r="G4" s="9">
        <v>0</v>
      </c>
      <c r="H4" s="5">
        <v>0</v>
      </c>
      <c r="I4" s="6">
        <f>((1+H4)^0.083334-1)*100</f>
        <v>0</v>
      </c>
      <c r="J4" s="30">
        <v>0</v>
      </c>
      <c r="K4" s="30">
        <v>0</v>
      </c>
      <c r="L4" s="35">
        <f>+D4</f>
        <v>431174</v>
      </c>
      <c r="M4" s="30">
        <v>0</v>
      </c>
      <c r="N4" s="13">
        <f>+L4</f>
        <v>431174</v>
      </c>
      <c r="O4" s="4"/>
    </row>
    <row r="5" spans="1:17">
      <c r="A5" s="14">
        <v>42934</v>
      </c>
      <c r="B5" s="36">
        <v>3793.4526000000001</v>
      </c>
      <c r="C5" s="8">
        <v>251.51519999999999</v>
      </c>
      <c r="D5" s="7">
        <f>+ROUND((B5*C5),0)</f>
        <v>954111</v>
      </c>
      <c r="E5" s="67">
        <v>0</v>
      </c>
      <c r="F5" s="7">
        <f>+E5/30</f>
        <v>0</v>
      </c>
      <c r="G5" s="9">
        <v>0</v>
      </c>
      <c r="H5" s="5">
        <v>0</v>
      </c>
      <c r="I5" s="6">
        <f>((1+H5)^0.083334-1)*100</f>
        <v>0</v>
      </c>
      <c r="J5" s="30">
        <v>0</v>
      </c>
      <c r="K5" s="35">
        <f>+D5</f>
        <v>954111</v>
      </c>
      <c r="L5" s="30">
        <v>0</v>
      </c>
      <c r="M5" s="30">
        <v>0</v>
      </c>
      <c r="N5" s="13">
        <f>+K5</f>
        <v>954111</v>
      </c>
      <c r="P5" s="28">
        <v>42934</v>
      </c>
      <c r="Q5" s="28">
        <v>43171</v>
      </c>
    </row>
    <row r="6" spans="1:17">
      <c r="A6" s="15">
        <v>42934</v>
      </c>
      <c r="B6" s="36">
        <f>+B4</f>
        <v>1714.3059000000001</v>
      </c>
      <c r="C6" s="10">
        <f>+C4</f>
        <v>251.51519999999999</v>
      </c>
      <c r="D6" s="7">
        <f>+ROUND((B6*C6),0)</f>
        <v>431174</v>
      </c>
      <c r="E6" s="67">
        <v>234</v>
      </c>
      <c r="F6" s="7">
        <f>+E6/30</f>
        <v>7.8</v>
      </c>
      <c r="G6" s="9">
        <v>9.7199999999999995E-2</v>
      </c>
      <c r="H6" s="5">
        <f>+G6*1.5</f>
        <v>0.14579999999999999</v>
      </c>
      <c r="I6" s="6">
        <f>((1+H6)^0.083334-1)*100</f>
        <v>1.1406578828794034</v>
      </c>
      <c r="J6" s="35">
        <f>+ROUND(((D6*E6*H6)/360),0)</f>
        <v>40862</v>
      </c>
      <c r="K6" s="35">
        <v>0</v>
      </c>
      <c r="L6" s="35">
        <v>0</v>
      </c>
      <c r="M6" s="35">
        <v>0</v>
      </c>
      <c r="N6" s="13">
        <f>+J6</f>
        <v>40862</v>
      </c>
      <c r="P6">
        <f>DAYS360(P5,Q5)</f>
        <v>234</v>
      </c>
    </row>
    <row r="7" spans="1:17">
      <c r="A7" s="82" t="s">
        <v>15</v>
      </c>
      <c r="B7" s="75"/>
      <c r="C7" s="75"/>
      <c r="D7" s="75"/>
      <c r="E7" s="75"/>
      <c r="F7" s="75"/>
      <c r="G7" s="75"/>
      <c r="H7" s="75"/>
      <c r="I7" s="75"/>
      <c r="J7" s="83"/>
      <c r="K7" s="69"/>
      <c r="L7" s="69"/>
      <c r="M7" s="69"/>
      <c r="N7" s="34">
        <f>SUM(N4:N6)</f>
        <v>1426147</v>
      </c>
    </row>
    <row r="8" spans="1:17">
      <c r="A8" s="12">
        <v>42965</v>
      </c>
      <c r="B8" s="36">
        <v>1722.2807</v>
      </c>
      <c r="C8" s="8">
        <v>251.75280000000001</v>
      </c>
      <c r="D8" s="7">
        <f>+ROUND((B8*C8),0)</f>
        <v>433589</v>
      </c>
      <c r="E8" s="67">
        <v>0</v>
      </c>
      <c r="F8" s="7">
        <f>+E8/30</f>
        <v>0</v>
      </c>
      <c r="G8" s="9">
        <v>0</v>
      </c>
      <c r="H8" s="5">
        <v>0</v>
      </c>
      <c r="I8" s="6">
        <f>((1+H8)^0.083334-1)*100</f>
        <v>0</v>
      </c>
      <c r="J8" s="30">
        <v>0</v>
      </c>
      <c r="K8" s="30">
        <v>0</v>
      </c>
      <c r="L8" s="35">
        <f>+D8</f>
        <v>433589</v>
      </c>
      <c r="M8" s="30">
        <v>0</v>
      </c>
      <c r="N8" s="13">
        <f>+L8</f>
        <v>433589</v>
      </c>
      <c r="O8" s="4"/>
    </row>
    <row r="9" spans="1:17">
      <c r="A9" s="12">
        <v>42965</v>
      </c>
      <c r="B9" s="36">
        <v>3780.2955999999999</v>
      </c>
      <c r="C9" s="8">
        <v>251.75280000000001</v>
      </c>
      <c r="D9" s="7">
        <f>+ROUND((B9*C9),0)</f>
        <v>951700</v>
      </c>
      <c r="E9" s="67">
        <v>0</v>
      </c>
      <c r="F9" s="7">
        <f>+E9/30</f>
        <v>0</v>
      </c>
      <c r="G9" s="9">
        <v>0</v>
      </c>
      <c r="H9" s="5">
        <v>0</v>
      </c>
      <c r="I9" s="6">
        <f>((1+H9)^0.083334-1)*100</f>
        <v>0</v>
      </c>
      <c r="J9" s="30">
        <v>0</v>
      </c>
      <c r="K9" s="35">
        <f>+D9</f>
        <v>951700</v>
      </c>
      <c r="L9" s="30">
        <v>0</v>
      </c>
      <c r="M9" s="30">
        <v>0</v>
      </c>
      <c r="N9" s="13">
        <f>+K9</f>
        <v>951700</v>
      </c>
      <c r="P9" s="28">
        <v>42965</v>
      </c>
      <c r="Q9" s="28">
        <v>43171</v>
      </c>
    </row>
    <row r="10" spans="1:17">
      <c r="A10" s="12">
        <v>42965</v>
      </c>
      <c r="B10" s="36">
        <v>1722.2807</v>
      </c>
      <c r="C10" s="8">
        <v>251.75280000000001</v>
      </c>
      <c r="D10" s="7">
        <f>+ROUND((B10*C10),0)</f>
        <v>433589</v>
      </c>
      <c r="E10" s="67">
        <v>204</v>
      </c>
      <c r="F10" s="7">
        <f>+E10/30</f>
        <v>6.8</v>
      </c>
      <c r="G10" s="9">
        <v>9.7199999999999995E-2</v>
      </c>
      <c r="H10" s="5">
        <f>+G10*1.5</f>
        <v>0.14579999999999999</v>
      </c>
      <c r="I10" s="6">
        <f>((1+H10)^0.083334-1)*100</f>
        <v>1.1406578828794034</v>
      </c>
      <c r="J10" s="35">
        <f>+ROUND(((D10*E10*H10)/360),0)</f>
        <v>35823</v>
      </c>
      <c r="K10" s="35">
        <v>0</v>
      </c>
      <c r="L10" s="35">
        <v>0</v>
      </c>
      <c r="M10" s="35">
        <v>0</v>
      </c>
      <c r="N10" s="13">
        <f>+J10</f>
        <v>35823</v>
      </c>
      <c r="P10">
        <f>DAYS360(P9,Q9)</f>
        <v>204</v>
      </c>
    </row>
    <row r="11" spans="1:17">
      <c r="A11" s="82" t="s">
        <v>16</v>
      </c>
      <c r="B11" s="75"/>
      <c r="C11" s="75"/>
      <c r="D11" s="75"/>
      <c r="E11" s="75"/>
      <c r="F11" s="75"/>
      <c r="G11" s="75"/>
      <c r="H11" s="75"/>
      <c r="I11" s="75"/>
      <c r="J11" s="83"/>
      <c r="K11" s="69"/>
      <c r="L11" s="69"/>
      <c r="M11" s="69"/>
      <c r="N11" s="34">
        <f>SUM(N8:N10)</f>
        <v>1421112</v>
      </c>
    </row>
    <row r="12" spans="1:17">
      <c r="A12" s="12">
        <v>42996</v>
      </c>
      <c r="B12" s="36">
        <v>1730.7886000000001</v>
      </c>
      <c r="C12" s="8">
        <v>251.67429999999999</v>
      </c>
      <c r="D12" s="7">
        <f>+ROUND((B12*C12),0)</f>
        <v>435595</v>
      </c>
      <c r="E12" s="67">
        <v>0</v>
      </c>
      <c r="F12" s="7">
        <f>+E12/30</f>
        <v>0</v>
      </c>
      <c r="G12" s="9">
        <v>0</v>
      </c>
      <c r="H12" s="5">
        <v>0</v>
      </c>
      <c r="I12" s="6">
        <f>((1+H12)^0.083334-1)*100</f>
        <v>0</v>
      </c>
      <c r="J12" s="30">
        <v>0</v>
      </c>
      <c r="K12" s="30">
        <v>0</v>
      </c>
      <c r="L12" s="35">
        <f>+D12</f>
        <v>435595</v>
      </c>
      <c r="M12" s="30">
        <v>0</v>
      </c>
      <c r="N12" s="13">
        <f>+L12</f>
        <v>435595</v>
      </c>
      <c r="O12" s="4"/>
    </row>
    <row r="13" spans="1:17">
      <c r="A13" s="12">
        <v>42996</v>
      </c>
      <c r="B13" s="36">
        <v>3774.1041</v>
      </c>
      <c r="C13" s="8">
        <v>251.67429999999999</v>
      </c>
      <c r="D13" s="7">
        <f>+ROUND((B13*C13),0)</f>
        <v>949845</v>
      </c>
      <c r="E13" s="67">
        <v>0</v>
      </c>
      <c r="F13" s="7">
        <f>+E13/30</f>
        <v>0</v>
      </c>
      <c r="G13" s="9">
        <v>0</v>
      </c>
      <c r="H13" s="5">
        <v>0</v>
      </c>
      <c r="I13" s="6">
        <f>((1+H13)^0.083334-1)*100</f>
        <v>0</v>
      </c>
      <c r="J13" s="30">
        <v>0</v>
      </c>
      <c r="K13" s="35">
        <f>+D13</f>
        <v>949845</v>
      </c>
      <c r="L13" s="30">
        <v>0</v>
      </c>
      <c r="M13" s="30">
        <v>0</v>
      </c>
      <c r="N13" s="13">
        <f>+K13</f>
        <v>949845</v>
      </c>
      <c r="P13" s="28">
        <v>42996</v>
      </c>
      <c r="Q13" s="28">
        <v>43171</v>
      </c>
    </row>
    <row r="14" spans="1:17">
      <c r="A14" s="12">
        <v>42996</v>
      </c>
      <c r="B14" s="36">
        <f>+B12</f>
        <v>1730.7886000000001</v>
      </c>
      <c r="C14" s="8">
        <v>251.67429999999999</v>
      </c>
      <c r="D14" s="7">
        <f>+ROUND((B14*C14),0)</f>
        <v>435595</v>
      </c>
      <c r="E14" s="67">
        <v>174</v>
      </c>
      <c r="F14" s="7">
        <f>+E14/30</f>
        <v>5.8</v>
      </c>
      <c r="G14" s="9">
        <v>9.7199999999999995E-2</v>
      </c>
      <c r="H14" s="5">
        <f>+G14*1.5</f>
        <v>0.14579999999999999</v>
      </c>
      <c r="I14" s="6">
        <f>((1+H14)^0.083334-1)*100</f>
        <v>1.1406578828794034</v>
      </c>
      <c r="J14" s="35">
        <f>+ROUND(((D14*E14*H14)/360),0)</f>
        <v>30696</v>
      </c>
      <c r="K14" s="35">
        <v>0</v>
      </c>
      <c r="L14" s="35">
        <v>0</v>
      </c>
      <c r="M14" s="35">
        <v>0</v>
      </c>
      <c r="N14" s="13">
        <f>+J14</f>
        <v>30696</v>
      </c>
      <c r="P14">
        <f>DAYS360(P13,Q13)</f>
        <v>174</v>
      </c>
    </row>
    <row r="15" spans="1:17">
      <c r="A15" s="82" t="s">
        <v>17</v>
      </c>
      <c r="B15" s="75"/>
      <c r="C15" s="75"/>
      <c r="D15" s="75"/>
      <c r="E15" s="75"/>
      <c r="F15" s="75"/>
      <c r="G15" s="75"/>
      <c r="H15" s="75"/>
      <c r="I15" s="75"/>
      <c r="J15" s="83"/>
      <c r="K15" s="69"/>
      <c r="L15" s="69"/>
      <c r="M15" s="69"/>
      <c r="N15" s="34">
        <f>SUM(N12:N14)</f>
        <v>1416136</v>
      </c>
    </row>
    <row r="16" spans="1:17">
      <c r="A16" s="12">
        <v>43026</v>
      </c>
      <c r="B16" s="36">
        <v>1738.8806</v>
      </c>
      <c r="C16" s="8">
        <v>252.00120000000001</v>
      </c>
      <c r="D16" s="7">
        <f>+ROUND((B16*C16),0)</f>
        <v>438200</v>
      </c>
      <c r="E16" s="67">
        <v>0</v>
      </c>
      <c r="F16" s="7">
        <f>+E16/30</f>
        <v>0</v>
      </c>
      <c r="G16" s="9">
        <v>0</v>
      </c>
      <c r="H16" s="5">
        <v>0</v>
      </c>
      <c r="I16" s="6">
        <f>((1+H16)^0.083334-1)*100</f>
        <v>0</v>
      </c>
      <c r="J16" s="30">
        <v>0</v>
      </c>
      <c r="K16" s="30">
        <v>0</v>
      </c>
      <c r="L16" s="35">
        <f>+D16</f>
        <v>438200</v>
      </c>
      <c r="M16" s="30">
        <v>0</v>
      </c>
      <c r="N16" s="13">
        <f>+L16</f>
        <v>438200</v>
      </c>
      <c r="O16" s="4"/>
    </row>
    <row r="17" spans="1:17">
      <c r="A17" s="12">
        <v>43026</v>
      </c>
      <c r="B17" s="36">
        <v>3758.8829000000001</v>
      </c>
      <c r="C17" s="8">
        <v>252.00120000000001</v>
      </c>
      <c r="D17" s="7">
        <f>+ROUND((B17*C17),0)</f>
        <v>947243</v>
      </c>
      <c r="E17" s="67">
        <v>0</v>
      </c>
      <c r="F17" s="7">
        <f>+E17/30</f>
        <v>0</v>
      </c>
      <c r="G17" s="9">
        <v>0</v>
      </c>
      <c r="H17" s="5">
        <v>0</v>
      </c>
      <c r="I17" s="6">
        <f>((1+H17)^0.083334-1)*100</f>
        <v>0</v>
      </c>
      <c r="J17" s="30">
        <v>0</v>
      </c>
      <c r="K17" s="35">
        <f>+D17</f>
        <v>947243</v>
      </c>
      <c r="L17" s="30">
        <v>0</v>
      </c>
      <c r="M17" s="30">
        <v>0</v>
      </c>
      <c r="N17" s="13">
        <v>0</v>
      </c>
      <c r="P17" s="28">
        <v>43036</v>
      </c>
      <c r="Q17" s="28">
        <v>43171</v>
      </c>
    </row>
    <row r="18" spans="1:17">
      <c r="A18" s="12">
        <v>43026</v>
      </c>
      <c r="B18" s="36">
        <f>+B16</f>
        <v>1738.8806</v>
      </c>
      <c r="C18" s="8">
        <v>252.00120000000001</v>
      </c>
      <c r="D18" s="7">
        <f>+ROUND((B18*C18),0)</f>
        <v>438200</v>
      </c>
      <c r="E18" s="67">
        <f>13+30+30+30+30+12</f>
        <v>145</v>
      </c>
      <c r="F18" s="7">
        <f>+E18/30</f>
        <v>4.833333333333333</v>
      </c>
      <c r="G18" s="9">
        <v>9.7199999999999995E-2</v>
      </c>
      <c r="H18" s="5">
        <f>+G18*1.5</f>
        <v>0.14579999999999999</v>
      </c>
      <c r="I18" s="6">
        <f>((1+H18)^0.083334-1)*100</f>
        <v>1.1406578828794034</v>
      </c>
      <c r="J18" s="35">
        <f>+ROUND(((D18*E18*H18)/360),0)</f>
        <v>25733</v>
      </c>
      <c r="K18" s="35">
        <v>0</v>
      </c>
      <c r="L18" s="35">
        <v>0</v>
      </c>
      <c r="M18" s="35">
        <v>0</v>
      </c>
      <c r="N18" s="13">
        <v>0</v>
      </c>
      <c r="P18">
        <f>DAYS360(P17,Q17)</f>
        <v>134</v>
      </c>
    </row>
    <row r="19" spans="1:17">
      <c r="A19" s="96" t="s">
        <v>18</v>
      </c>
      <c r="B19" s="97"/>
      <c r="C19" s="97"/>
      <c r="D19" s="97"/>
      <c r="E19" s="97"/>
      <c r="F19" s="97"/>
      <c r="G19" s="97"/>
      <c r="H19" s="97"/>
      <c r="I19" s="37"/>
      <c r="J19" s="38">
        <f>+J6+J10+J14+J18</f>
        <v>133114</v>
      </c>
      <c r="K19" s="38">
        <f>+K5+K9+K13+K17</f>
        <v>3802899</v>
      </c>
      <c r="L19" s="38">
        <f>+L10+L14+L18</f>
        <v>0</v>
      </c>
      <c r="M19" s="38">
        <f>1600000-225480</f>
        <v>1374520</v>
      </c>
      <c r="N19" s="13">
        <f>+J19+K19-M19</f>
        <v>2561493</v>
      </c>
    </row>
    <row r="20" spans="1:17">
      <c r="A20" s="82" t="s">
        <v>19</v>
      </c>
      <c r="B20" s="75"/>
      <c r="C20" s="75"/>
      <c r="D20" s="75"/>
      <c r="E20" s="75"/>
      <c r="F20" s="75"/>
      <c r="G20" s="75"/>
      <c r="H20" s="75"/>
      <c r="I20" s="75"/>
      <c r="J20" s="83"/>
      <c r="K20" s="69"/>
      <c r="L20" s="69"/>
      <c r="M20" s="69"/>
      <c r="N20" s="34">
        <f>+N16+N19</f>
        <v>2999693</v>
      </c>
    </row>
    <row r="21" spans="1:17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34"/>
    </row>
    <row r="22" spans="1:17">
      <c r="A22" s="12">
        <v>43035</v>
      </c>
      <c r="B22" s="36">
        <v>714832.00749999995</v>
      </c>
      <c r="C22" s="8">
        <v>252.03039999999999</v>
      </c>
      <c r="D22" s="7">
        <f>+ROUND((B22*C22),0)</f>
        <v>180159397</v>
      </c>
      <c r="E22" s="67">
        <v>0</v>
      </c>
      <c r="F22" s="7">
        <f>+E22/30</f>
        <v>0</v>
      </c>
      <c r="G22" s="9">
        <v>0</v>
      </c>
      <c r="H22" s="5">
        <v>0</v>
      </c>
      <c r="I22" s="6">
        <f>((1+H22)^0.083334-1)*100</f>
        <v>0</v>
      </c>
      <c r="J22" s="30">
        <v>0</v>
      </c>
      <c r="K22" s="30">
        <v>0</v>
      </c>
      <c r="L22" s="35">
        <f>+D22</f>
        <v>180159397</v>
      </c>
      <c r="M22" s="30">
        <v>0</v>
      </c>
      <c r="N22" s="13">
        <f>+L22</f>
        <v>180159397</v>
      </c>
      <c r="O22" s="4"/>
    </row>
    <row r="23" spans="1:17">
      <c r="A23" s="12">
        <v>43035</v>
      </c>
      <c r="B23" s="36">
        <f>+B22</f>
        <v>714832.00749999995</v>
      </c>
      <c r="C23" s="8">
        <v>252.00120000000001</v>
      </c>
      <c r="D23" s="7">
        <f>+ROUND((B23*C23),0)</f>
        <v>180138524</v>
      </c>
      <c r="E23" s="67">
        <f>4+30+30+30+30+12</f>
        <v>136</v>
      </c>
      <c r="F23" s="7">
        <f>+E23/30</f>
        <v>4.5333333333333332</v>
      </c>
      <c r="G23" s="9">
        <v>9.7199999999999995E-2</v>
      </c>
      <c r="H23" s="5">
        <f>+G23*1.5</f>
        <v>0.14579999999999999</v>
      </c>
      <c r="I23" s="6">
        <f>((1+H23)^0.083334-1)*100</f>
        <v>1.1406578828794034</v>
      </c>
      <c r="J23" s="35">
        <f>+ROUND(((D23*E23*H23)/360),0)</f>
        <v>9922030</v>
      </c>
      <c r="K23" s="35">
        <v>0</v>
      </c>
      <c r="L23" s="35">
        <v>0</v>
      </c>
      <c r="M23" s="35">
        <v>0</v>
      </c>
      <c r="N23" s="13">
        <f>+J23</f>
        <v>9922030</v>
      </c>
      <c r="P23" t="e">
        <f>DAYS360(#REF!,#REF!)</f>
        <v>#REF!</v>
      </c>
    </row>
    <row r="24" spans="1:17">
      <c r="A24" s="82" t="s">
        <v>20</v>
      </c>
      <c r="B24" s="75"/>
      <c r="C24" s="75"/>
      <c r="D24" s="75"/>
      <c r="E24" s="75"/>
      <c r="F24" s="75"/>
      <c r="G24" s="75"/>
      <c r="H24" s="75"/>
      <c r="I24" s="75"/>
      <c r="J24" s="83"/>
      <c r="K24" s="69"/>
      <c r="L24" s="69"/>
      <c r="M24" s="69"/>
      <c r="N24" s="34">
        <f>SUM(N22:N23)</f>
        <v>190081427</v>
      </c>
    </row>
    <row r="25" spans="1:17">
      <c r="A25" s="84" t="s">
        <v>21</v>
      </c>
      <c r="B25" s="75"/>
      <c r="C25" s="75"/>
      <c r="D25" s="75"/>
      <c r="E25" s="75"/>
      <c r="F25" s="75"/>
      <c r="G25" s="75"/>
      <c r="H25" s="83"/>
      <c r="I25" s="69"/>
      <c r="J25" s="75">
        <f>+N19+J23</f>
        <v>12483523</v>
      </c>
      <c r="K25" s="75"/>
      <c r="L25" s="69"/>
      <c r="M25" s="69"/>
      <c r="N25" s="34"/>
    </row>
    <row r="26" spans="1:17">
      <c r="A26" s="82" t="s">
        <v>22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83"/>
      <c r="N26" s="34">
        <f>+N7+N11+N15+N20+N24</f>
        <v>197344515</v>
      </c>
    </row>
    <row r="27" spans="1:17">
      <c r="A27" s="76" t="s">
        <v>23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1">
        <f>1470074-209926</f>
        <v>1260148</v>
      </c>
      <c r="N27" s="34"/>
    </row>
    <row r="28" spans="1:17">
      <c r="A28" s="76" t="s">
        <v>24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1">
        <f>1750000-214200</f>
        <v>1535800</v>
      </c>
      <c r="N28" s="34"/>
    </row>
    <row r="29" spans="1:17">
      <c r="A29" s="76" t="s">
        <v>25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1">
        <f>1697980-214938</f>
        <v>1483042</v>
      </c>
      <c r="N29" s="34"/>
    </row>
    <row r="30" spans="1:17">
      <c r="A30" s="82" t="s">
        <v>26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69">
        <f>SUM(M27:M29)</f>
        <v>4278990</v>
      </c>
      <c r="N30" s="34">
        <f>+M30</f>
        <v>4278990</v>
      </c>
    </row>
    <row r="31" spans="1:17" ht="15.75" thickBot="1">
      <c r="A31" s="82" t="s">
        <v>27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83"/>
      <c r="N31" s="34">
        <f>+N26-N30</f>
        <v>193065525</v>
      </c>
    </row>
    <row r="32" spans="1:17" ht="61.5" customHeight="1" thickBot="1">
      <c r="A32" s="93" t="s">
        <v>28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5"/>
    </row>
    <row r="33" spans="1:14" ht="51.75" customHeight="1" thickBot="1">
      <c r="A33" s="93" t="s">
        <v>29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5"/>
    </row>
    <row r="34" spans="1:14" ht="15.75" thickBot="1"/>
    <row r="35" spans="1:14" ht="15.75" thickBot="1">
      <c r="A35" s="87" t="s">
        <v>30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9"/>
    </row>
    <row r="36" spans="1:14" ht="15.75" thickBot="1"/>
    <row r="37" spans="1:14">
      <c r="A37" s="78" t="s">
        <v>31</v>
      </c>
      <c r="B37" s="79"/>
      <c r="C37" s="79"/>
      <c r="D37" s="79"/>
      <c r="E37" s="79"/>
      <c r="F37" s="79"/>
      <c r="G37" s="79"/>
      <c r="H37" s="79"/>
      <c r="I37" s="18"/>
      <c r="J37" s="33"/>
      <c r="K37" s="33"/>
      <c r="L37" s="33"/>
      <c r="M37" s="33"/>
      <c r="N37" s="19" t="e">
        <f>+#REF!</f>
        <v>#REF!</v>
      </c>
    </row>
    <row r="38" spans="1:14">
      <c r="A38" s="80" t="s">
        <v>32</v>
      </c>
      <c r="B38" s="81"/>
      <c r="C38" s="81"/>
      <c r="D38" s="81"/>
      <c r="E38" s="81"/>
      <c r="F38" s="81"/>
      <c r="G38" s="81"/>
      <c r="H38" s="81"/>
      <c r="I38" s="11"/>
      <c r="J38" s="31"/>
      <c r="K38" s="31"/>
      <c r="L38" s="31"/>
      <c r="M38" s="31"/>
      <c r="N38" s="20" t="e">
        <f>+#REF!</f>
        <v>#REF!</v>
      </c>
    </row>
    <row r="39" spans="1:14">
      <c r="A39" s="80" t="s">
        <v>33</v>
      </c>
      <c r="B39" s="81"/>
      <c r="C39" s="81"/>
      <c r="D39" s="81"/>
      <c r="E39" s="81"/>
      <c r="F39" s="81"/>
      <c r="G39" s="81"/>
      <c r="H39" s="81"/>
      <c r="I39" s="11"/>
      <c r="J39" s="31"/>
      <c r="K39" s="31"/>
      <c r="L39" s="31"/>
      <c r="M39" s="31"/>
      <c r="N39" s="21" t="e">
        <f>+#REF!+#REF!</f>
        <v>#REF!</v>
      </c>
    </row>
    <row r="40" spans="1:14">
      <c r="A40" s="80" t="s">
        <v>34</v>
      </c>
      <c r="B40" s="81"/>
      <c r="C40" s="81"/>
      <c r="D40" s="81"/>
      <c r="E40" s="81"/>
      <c r="F40" s="81"/>
      <c r="G40" s="81"/>
      <c r="H40" s="81"/>
      <c r="I40" s="11"/>
      <c r="J40" s="31"/>
      <c r="K40" s="31"/>
      <c r="L40" s="31"/>
      <c r="M40" s="31"/>
      <c r="N40" s="22" t="e">
        <f>+#REF!</f>
        <v>#REF!</v>
      </c>
    </row>
    <row r="41" spans="1:14" ht="15.75" thickBot="1">
      <c r="A41" s="85" t="s">
        <v>35</v>
      </c>
      <c r="B41" s="86"/>
      <c r="C41" s="86"/>
      <c r="D41" s="86"/>
      <c r="E41" s="86"/>
      <c r="F41" s="86"/>
      <c r="G41" s="86"/>
      <c r="H41" s="86"/>
      <c r="I41" s="16"/>
      <c r="J41" s="32"/>
      <c r="K41" s="32"/>
      <c r="L41" s="32"/>
      <c r="M41" s="32"/>
      <c r="N41" s="23" t="e">
        <f>SUM(N37:N40)</f>
        <v>#REF!</v>
      </c>
    </row>
  </sheetData>
  <mergeCells count="23">
    <mergeCell ref="A40:H40"/>
    <mergeCell ref="A41:H41"/>
    <mergeCell ref="A35:N35"/>
    <mergeCell ref="A1:N1"/>
    <mergeCell ref="A32:N32"/>
    <mergeCell ref="A33:N33"/>
    <mergeCell ref="A7:J7"/>
    <mergeCell ref="A11:J11"/>
    <mergeCell ref="A15:J15"/>
    <mergeCell ref="A20:J20"/>
    <mergeCell ref="A19:H19"/>
    <mergeCell ref="A24:J24"/>
    <mergeCell ref="A26:M26"/>
    <mergeCell ref="A28:L28"/>
    <mergeCell ref="A29:L29"/>
    <mergeCell ref="A30:L30"/>
    <mergeCell ref="J25:K25"/>
    <mergeCell ref="A27:L27"/>
    <mergeCell ref="A37:H37"/>
    <mergeCell ref="A38:H38"/>
    <mergeCell ref="A39:H39"/>
    <mergeCell ref="A31:M31"/>
    <mergeCell ref="A25:H25"/>
  </mergeCells>
  <pageMargins left="0.7" right="0.7" top="0.75" bottom="0.75" header="0.3" footer="0.3"/>
  <pageSetup paperSize="14" scale="79" orientation="portrait" horizontalDpi="4294967294" verticalDpi="4294967294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6"/>
  <sheetViews>
    <sheetView tabSelected="1" zoomScale="70" zoomScaleNormal="70" workbookViewId="0">
      <pane xSplit="1" ySplit="4" topLeftCell="B38" activePane="bottomRight" state="frozen"/>
      <selection pane="bottomRight" activeCell="R12" sqref="R12"/>
      <selection pane="bottomLeft" activeCell="A4" sqref="A4"/>
      <selection pane="topRight" activeCell="B1" sqref="B1"/>
    </sheetView>
  </sheetViews>
  <sheetFormatPr defaultColWidth="11.42578125" defaultRowHeight="15"/>
  <cols>
    <col min="2" max="2" width="15.85546875" style="1" customWidth="1"/>
    <col min="3" max="3" width="14.7109375" customWidth="1"/>
    <col min="4" max="4" width="15.140625" style="1" customWidth="1"/>
    <col min="5" max="5" width="13.85546875" style="2" customWidth="1"/>
    <col min="6" max="6" width="0" style="1" hidden="1" customWidth="1"/>
    <col min="7" max="7" width="13.5703125" bestFit="1" customWidth="1"/>
    <col min="8" max="8" width="14.5703125" customWidth="1"/>
    <col min="9" max="9" width="13.140625" hidden="1" customWidth="1"/>
    <col min="10" max="10" width="16.7109375" customWidth="1"/>
    <col min="11" max="11" width="19.42578125" customWidth="1"/>
    <col min="12" max="12" width="20" customWidth="1"/>
    <col min="13" max="13" width="17.7109375" customWidth="1"/>
    <col min="14" max="14" width="21.5703125" customWidth="1"/>
    <col min="15" max="15" width="13.140625" customWidth="1"/>
    <col min="16" max="16" width="14" customWidth="1"/>
    <col min="17" max="17" width="13.140625" customWidth="1"/>
  </cols>
  <sheetData>
    <row r="1" spans="1:17" ht="15.75" thickBot="1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7" ht="38.25" customHeight="1" thickBot="1">
      <c r="A2" s="105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7"/>
    </row>
    <row r="3" spans="1:17" ht="15.75" thickBot="1"/>
    <row r="4" spans="1:17" ht="72.75" customHeight="1">
      <c r="A4" s="24" t="s">
        <v>1</v>
      </c>
      <c r="B4" s="25" t="s">
        <v>2</v>
      </c>
      <c r="C4" s="26" t="s">
        <v>3</v>
      </c>
      <c r="D4" s="25" t="s">
        <v>4</v>
      </c>
      <c r="E4" s="26" t="s">
        <v>36</v>
      </c>
      <c r="F4" s="25" t="s">
        <v>6</v>
      </c>
      <c r="G4" s="26" t="s">
        <v>7</v>
      </c>
      <c r="H4" s="25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7" t="s">
        <v>14</v>
      </c>
      <c r="O4" s="3"/>
    </row>
    <row r="5" spans="1:17">
      <c r="A5" s="12">
        <v>43637</v>
      </c>
      <c r="B5" s="65">
        <v>7385.8059300000004</v>
      </c>
      <c r="C5" s="8">
        <v>277.03859999999997</v>
      </c>
      <c r="D5" s="7">
        <f>+ROUND((B5*C5),0)</f>
        <v>2046153</v>
      </c>
      <c r="E5" s="67">
        <v>0</v>
      </c>
      <c r="F5" s="7">
        <f>+E5/30</f>
        <v>0</v>
      </c>
      <c r="G5" s="9">
        <v>0</v>
      </c>
      <c r="H5" s="5">
        <v>0</v>
      </c>
      <c r="I5" s="6">
        <f>((1+H5)^0.083334-1)*100</f>
        <v>0</v>
      </c>
      <c r="J5" s="6">
        <v>0</v>
      </c>
      <c r="K5" s="6">
        <v>0</v>
      </c>
      <c r="L5" s="38">
        <f>+D5</f>
        <v>2046153</v>
      </c>
      <c r="M5" s="6">
        <v>0</v>
      </c>
      <c r="N5" s="13">
        <f>+L5</f>
        <v>2046153</v>
      </c>
      <c r="O5" s="4"/>
    </row>
    <row r="6" spans="1:17">
      <c r="A6" s="12">
        <v>43637</v>
      </c>
      <c r="B6" s="65">
        <v>4554.7610999999997</v>
      </c>
      <c r="C6" s="8">
        <v>277.03859999999997</v>
      </c>
      <c r="D6" s="7">
        <f>+ROUND((B6*C6),0)</f>
        <v>1261845</v>
      </c>
      <c r="E6" s="67">
        <v>0</v>
      </c>
      <c r="F6" s="7">
        <f>+E6/30</f>
        <v>0</v>
      </c>
      <c r="G6" s="9">
        <v>0</v>
      </c>
      <c r="H6" s="5">
        <v>0</v>
      </c>
      <c r="I6" s="6">
        <f>((1+H6)^0.083334-1)*100</f>
        <v>0</v>
      </c>
      <c r="J6" s="6">
        <v>0</v>
      </c>
      <c r="K6" s="38">
        <f>+D6</f>
        <v>1261845</v>
      </c>
      <c r="L6" s="6">
        <v>0</v>
      </c>
      <c r="M6" s="6">
        <v>0</v>
      </c>
      <c r="N6" s="13">
        <f>+K6</f>
        <v>1261845</v>
      </c>
      <c r="P6" s="28"/>
      <c r="Q6" s="28"/>
    </row>
    <row r="7" spans="1:17">
      <c r="A7" s="12">
        <v>43637</v>
      </c>
      <c r="B7" s="65">
        <v>7385.8059300000004</v>
      </c>
      <c r="C7" s="8">
        <v>277.03859999999997</v>
      </c>
      <c r="D7" s="7">
        <f>+ROUND((B7*C7),0)</f>
        <v>2046153</v>
      </c>
      <c r="E7" s="67">
        <v>624</v>
      </c>
      <c r="F7" s="7">
        <f>+E7/30</f>
        <v>20.8</v>
      </c>
      <c r="G7" s="9">
        <v>0.1</v>
      </c>
      <c r="H7" s="5">
        <f>+G7*1.5</f>
        <v>0.15000000000000002</v>
      </c>
      <c r="I7" s="6">
        <f>((1+H7)^0.083334-1)*100</f>
        <v>1.171501118601892</v>
      </c>
      <c r="J7" s="38">
        <f>+ROUND(((D7*E7*H7)/360),0)</f>
        <v>532000</v>
      </c>
      <c r="K7" s="38">
        <v>0</v>
      </c>
      <c r="L7" s="38">
        <v>0</v>
      </c>
      <c r="M7" s="38">
        <v>0</v>
      </c>
      <c r="N7" s="13">
        <f>+J7</f>
        <v>532000</v>
      </c>
    </row>
    <row r="8" spans="1:17" ht="15.75" thickBot="1">
      <c r="A8" s="108" t="s">
        <v>15</v>
      </c>
      <c r="B8" s="109"/>
      <c r="C8" s="109"/>
      <c r="D8" s="109"/>
      <c r="E8" s="109"/>
      <c r="F8" s="109"/>
      <c r="G8" s="109"/>
      <c r="H8" s="109"/>
      <c r="I8" s="109"/>
      <c r="J8" s="109"/>
      <c r="K8" s="74"/>
      <c r="L8" s="74"/>
      <c r="M8" s="74"/>
      <c r="N8" s="17">
        <f>SUM(N5:N7)</f>
        <v>3839998</v>
      </c>
    </row>
    <row r="9" spans="1:17" ht="15.75" thickBot="1">
      <c r="A9" s="39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1"/>
    </row>
    <row r="10" spans="1:17">
      <c r="A10" s="12">
        <v>43667</v>
      </c>
      <c r="B10" s="65">
        <v>7444.7013900000002</v>
      </c>
      <c r="C10" s="8">
        <v>277.03859999999997</v>
      </c>
      <c r="D10" s="44">
        <f>+ROUND((B10*C10),0)</f>
        <v>2062470</v>
      </c>
      <c r="E10" s="72">
        <v>0</v>
      </c>
      <c r="F10" s="44">
        <f>+E10/30</f>
        <v>0</v>
      </c>
      <c r="G10" s="45">
        <v>0</v>
      </c>
      <c r="H10" s="46">
        <v>0</v>
      </c>
      <c r="I10" s="47">
        <f>((1+H10)^0.083334-1)*100</f>
        <v>0</v>
      </c>
      <c r="J10" s="48">
        <v>0</v>
      </c>
      <c r="K10" s="48">
        <v>0</v>
      </c>
      <c r="L10" s="49">
        <f>+D10</f>
        <v>2062470</v>
      </c>
      <c r="M10" s="48">
        <v>0</v>
      </c>
      <c r="N10" s="50">
        <f>+L10</f>
        <v>2062470</v>
      </c>
      <c r="O10" s="4"/>
    </row>
    <row r="11" spans="1:17">
      <c r="A11" s="12">
        <v>43667</v>
      </c>
      <c r="B11" s="65">
        <v>4495.8654999999999</v>
      </c>
      <c r="C11" s="8">
        <v>277.03859999999997</v>
      </c>
      <c r="D11" s="7">
        <f>+ROUND((B11*C11),0)</f>
        <v>1245528</v>
      </c>
      <c r="E11" s="67">
        <v>0</v>
      </c>
      <c r="F11" s="7">
        <f>+E11/30</f>
        <v>0</v>
      </c>
      <c r="G11" s="9">
        <v>0</v>
      </c>
      <c r="H11" s="5">
        <v>0</v>
      </c>
      <c r="I11" s="6">
        <f>((1+H11)^0.083334-1)*100</f>
        <v>0</v>
      </c>
      <c r="J11" s="30">
        <v>0</v>
      </c>
      <c r="K11" s="35">
        <f>+D11</f>
        <v>1245528</v>
      </c>
      <c r="L11" s="30">
        <v>0</v>
      </c>
      <c r="M11" s="30">
        <v>0</v>
      </c>
      <c r="N11" s="13">
        <f>+K11</f>
        <v>1245528</v>
      </c>
      <c r="P11" s="28"/>
      <c r="Q11" s="28"/>
    </row>
    <row r="12" spans="1:17">
      <c r="A12" s="12">
        <v>43667</v>
      </c>
      <c r="B12" s="65">
        <v>7444.7013900000002</v>
      </c>
      <c r="C12" s="8">
        <v>277.03859999999997</v>
      </c>
      <c r="D12" s="7">
        <f>+ROUND((B12*C12),0)</f>
        <v>2062470</v>
      </c>
      <c r="E12" s="67">
        <v>594</v>
      </c>
      <c r="F12" s="7">
        <f>+E12/30</f>
        <v>19.8</v>
      </c>
      <c r="G12" s="9">
        <v>0.1</v>
      </c>
      <c r="H12" s="5">
        <f>+G12*1.5</f>
        <v>0.15000000000000002</v>
      </c>
      <c r="I12" s="6">
        <f>((1+H12)^0.083334-1)*100</f>
        <v>1.171501118601892</v>
      </c>
      <c r="J12" s="35">
        <f>+ROUND(((D12*E12*H12)/360),0)</f>
        <v>510461</v>
      </c>
      <c r="K12" s="35">
        <v>0</v>
      </c>
      <c r="L12" s="35">
        <v>0</v>
      </c>
      <c r="M12" s="35">
        <v>0</v>
      </c>
      <c r="N12" s="13">
        <f>+J12</f>
        <v>510461</v>
      </c>
    </row>
    <row r="13" spans="1:17" ht="15.75" thickBot="1">
      <c r="A13" s="101" t="s">
        <v>16</v>
      </c>
      <c r="B13" s="102"/>
      <c r="C13" s="102"/>
      <c r="D13" s="102"/>
      <c r="E13" s="102"/>
      <c r="F13" s="102"/>
      <c r="G13" s="102"/>
      <c r="H13" s="102"/>
      <c r="I13" s="102"/>
      <c r="J13" s="103"/>
      <c r="K13" s="73"/>
      <c r="L13" s="73"/>
      <c r="M13" s="73"/>
      <c r="N13" s="17">
        <f>SUM(N10:N12)</f>
        <v>3818459</v>
      </c>
    </row>
    <row r="14" spans="1:17" ht="15.75" thickBot="1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1"/>
    </row>
    <row r="15" spans="1:17">
      <c r="A15" s="12">
        <v>43698</v>
      </c>
      <c r="B15" s="65">
        <v>7504.0664800000004</v>
      </c>
      <c r="C15" s="8">
        <v>277.03859999999997</v>
      </c>
      <c r="D15" s="44">
        <f>+ROUND((B15*C15),0)</f>
        <v>2078916</v>
      </c>
      <c r="E15" s="72">
        <v>0</v>
      </c>
      <c r="F15" s="44">
        <f>+E15/30</f>
        <v>0</v>
      </c>
      <c r="G15" s="45">
        <v>0</v>
      </c>
      <c r="H15" s="46">
        <v>0</v>
      </c>
      <c r="I15" s="47">
        <f>((1+H15)^0.083334-1)*100</f>
        <v>0</v>
      </c>
      <c r="J15" s="48">
        <v>0</v>
      </c>
      <c r="K15" s="48">
        <v>0</v>
      </c>
      <c r="L15" s="49">
        <f>+D15</f>
        <v>2078916</v>
      </c>
      <c r="M15" s="48">
        <v>0</v>
      </c>
      <c r="N15" s="50">
        <f>+L15</f>
        <v>2078916</v>
      </c>
      <c r="O15" s="4"/>
    </row>
    <row r="16" spans="1:17">
      <c r="A16" s="12">
        <v>43698</v>
      </c>
      <c r="B16" s="65">
        <v>4436.5003999999999</v>
      </c>
      <c r="C16" s="8">
        <v>277.03859999999997</v>
      </c>
      <c r="D16" s="7">
        <f>+ROUND((B16*C16),0)</f>
        <v>1229082</v>
      </c>
      <c r="E16" s="67">
        <v>0</v>
      </c>
      <c r="F16" s="7">
        <f>+E16/30</f>
        <v>0</v>
      </c>
      <c r="G16" s="9">
        <v>0</v>
      </c>
      <c r="H16" s="5">
        <v>0</v>
      </c>
      <c r="I16" s="6">
        <f>((1+H16)^0.083334-1)*100</f>
        <v>0</v>
      </c>
      <c r="J16" s="30">
        <v>0</v>
      </c>
      <c r="K16" s="35">
        <f>+D16</f>
        <v>1229082</v>
      </c>
      <c r="L16" s="30">
        <v>0</v>
      </c>
      <c r="M16" s="30">
        <v>0</v>
      </c>
      <c r="N16" s="13">
        <f>+K16</f>
        <v>1229082</v>
      </c>
      <c r="P16" s="28"/>
      <c r="Q16" s="28"/>
    </row>
    <row r="17" spans="1:17">
      <c r="A17" s="12">
        <v>43698</v>
      </c>
      <c r="B17" s="65">
        <v>7504.0664800000004</v>
      </c>
      <c r="C17" s="8">
        <v>277.03859999999997</v>
      </c>
      <c r="D17" s="7">
        <f>+ROUND((B17*C17),0)</f>
        <v>2078916</v>
      </c>
      <c r="E17" s="67">
        <v>564</v>
      </c>
      <c r="F17" s="7">
        <f>+E17/30</f>
        <v>18.8</v>
      </c>
      <c r="G17" s="9">
        <v>0.1</v>
      </c>
      <c r="H17" s="5">
        <f>+G17*1.5</f>
        <v>0.15000000000000002</v>
      </c>
      <c r="I17" s="6">
        <f>((1+H17)^0.083334-1)*100</f>
        <v>1.171501118601892</v>
      </c>
      <c r="J17" s="35">
        <f>+ROUND(((D17*E17*H17)/360),0)</f>
        <v>488545</v>
      </c>
      <c r="K17" s="35">
        <v>0</v>
      </c>
      <c r="L17" s="35">
        <v>0</v>
      </c>
      <c r="M17" s="35">
        <v>0</v>
      </c>
      <c r="N17" s="13">
        <f>+J17</f>
        <v>488545</v>
      </c>
    </row>
    <row r="18" spans="1:17" ht="15.75" thickBot="1">
      <c r="A18" s="101" t="s">
        <v>17</v>
      </c>
      <c r="B18" s="102"/>
      <c r="C18" s="102"/>
      <c r="D18" s="102"/>
      <c r="E18" s="102"/>
      <c r="F18" s="102"/>
      <c r="G18" s="102"/>
      <c r="H18" s="102"/>
      <c r="I18" s="102"/>
      <c r="J18" s="103"/>
      <c r="K18" s="73"/>
      <c r="L18" s="73"/>
      <c r="M18" s="73"/>
      <c r="N18" s="17">
        <f>SUM(N15:N17)</f>
        <v>3796543</v>
      </c>
    </row>
    <row r="19" spans="1:17" ht="15.75" thickBot="1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1"/>
    </row>
    <row r="20" spans="1:17">
      <c r="A20" s="12">
        <v>43729</v>
      </c>
      <c r="B20" s="65">
        <v>7563.9049599999998</v>
      </c>
      <c r="C20" s="8">
        <v>277.03859999999997</v>
      </c>
      <c r="D20" s="44">
        <f>+ROUND((B20*C20),0)</f>
        <v>2095494</v>
      </c>
      <c r="E20" s="72">
        <v>0</v>
      </c>
      <c r="F20" s="44">
        <f>+E20/30</f>
        <v>0</v>
      </c>
      <c r="G20" s="45">
        <v>0</v>
      </c>
      <c r="H20" s="46">
        <v>0</v>
      </c>
      <c r="I20" s="47">
        <f>((1+H20)^0.083334-1)*100</f>
        <v>0</v>
      </c>
      <c r="J20" s="48">
        <v>0</v>
      </c>
      <c r="K20" s="48">
        <v>0</v>
      </c>
      <c r="L20" s="49">
        <f>+D20</f>
        <v>2095494</v>
      </c>
      <c r="M20" s="48">
        <v>0</v>
      </c>
      <c r="N20" s="50">
        <f>+L20</f>
        <v>2095494</v>
      </c>
      <c r="O20" s="4"/>
    </row>
    <row r="21" spans="1:17">
      <c r="A21" s="12">
        <v>43729</v>
      </c>
      <c r="B21" s="65">
        <v>4376.6619000000001</v>
      </c>
      <c r="C21" s="8">
        <v>277.03859999999997</v>
      </c>
      <c r="D21" s="7">
        <f>+ROUND((B21*C21),0)</f>
        <v>1212504</v>
      </c>
      <c r="E21" s="67">
        <v>0</v>
      </c>
      <c r="F21" s="7">
        <f>+E21/30</f>
        <v>0</v>
      </c>
      <c r="G21" s="9">
        <v>0</v>
      </c>
      <c r="H21" s="5">
        <v>0</v>
      </c>
      <c r="I21" s="6">
        <f>((1+H21)^0.083334-1)*100</f>
        <v>0</v>
      </c>
      <c r="J21" s="30">
        <v>0</v>
      </c>
      <c r="K21" s="35">
        <f>+D21</f>
        <v>1212504</v>
      </c>
      <c r="L21" s="30">
        <v>0</v>
      </c>
      <c r="M21" s="30">
        <v>0</v>
      </c>
      <c r="N21" s="60">
        <v>947243</v>
      </c>
      <c r="P21" s="28"/>
      <c r="Q21" s="28"/>
    </row>
    <row r="22" spans="1:17">
      <c r="A22" s="12">
        <v>43729</v>
      </c>
      <c r="B22" s="65">
        <v>7563.9049599999998</v>
      </c>
      <c r="C22" s="8">
        <v>277.03859999999997</v>
      </c>
      <c r="D22" s="7">
        <f>+ROUND((B22*C22),0)</f>
        <v>2095494</v>
      </c>
      <c r="E22" s="67">
        <v>534</v>
      </c>
      <c r="F22" s="7">
        <f>+E22/30</f>
        <v>17.8</v>
      </c>
      <c r="G22" s="9">
        <v>0.1</v>
      </c>
      <c r="H22" s="5">
        <f>+G22*1.5</f>
        <v>0.15000000000000002</v>
      </c>
      <c r="I22" s="6">
        <f>((1+H22)^0.083334-1)*100</f>
        <v>1.171501118601892</v>
      </c>
      <c r="J22" s="35">
        <f>+ROUND(((D22*E22*H22)/360),0)</f>
        <v>466247</v>
      </c>
      <c r="K22" s="35">
        <v>0</v>
      </c>
      <c r="L22" s="35">
        <v>0</v>
      </c>
      <c r="M22" s="35">
        <v>0</v>
      </c>
      <c r="N22" s="60" t="s">
        <v>37</v>
      </c>
    </row>
    <row r="23" spans="1:17" ht="15.75" thickBot="1">
      <c r="A23" s="101" t="s">
        <v>19</v>
      </c>
      <c r="B23" s="102"/>
      <c r="C23" s="102"/>
      <c r="D23" s="102"/>
      <c r="E23" s="102"/>
      <c r="F23" s="102"/>
      <c r="G23" s="102"/>
      <c r="H23" s="102"/>
      <c r="I23" s="102"/>
      <c r="J23" s="103"/>
      <c r="K23" s="70"/>
      <c r="L23" s="70"/>
      <c r="M23" s="61"/>
      <c r="N23" s="62">
        <f>SUM(N20:N22)</f>
        <v>3042737</v>
      </c>
    </row>
    <row r="24" spans="1:17">
      <c r="A24" s="63"/>
      <c r="B24" s="64"/>
      <c r="C24" s="64"/>
      <c r="D24" s="64"/>
      <c r="E24" s="64"/>
      <c r="F24" s="64"/>
      <c r="G24" s="64"/>
      <c r="H24" s="64"/>
      <c r="I24" s="64"/>
      <c r="J24" s="64"/>
      <c r="K24" s="70"/>
      <c r="L24" s="70"/>
      <c r="M24" s="61"/>
      <c r="N24" s="62"/>
    </row>
    <row r="25" spans="1:17">
      <c r="A25" s="96" t="s">
        <v>38</v>
      </c>
      <c r="B25" s="97"/>
      <c r="C25" s="97"/>
      <c r="D25" s="97"/>
      <c r="E25" s="97"/>
      <c r="F25" s="97"/>
      <c r="G25" s="97"/>
      <c r="H25" s="97"/>
      <c r="I25" s="37"/>
      <c r="J25" s="35">
        <v>133114</v>
      </c>
      <c r="K25" s="38">
        <f>+K6+K11+K16+K21</f>
        <v>4948959</v>
      </c>
      <c r="L25" s="35"/>
      <c r="M25" s="38"/>
      <c r="N25" s="34">
        <f>J25+K25-M25</f>
        <v>5082073</v>
      </c>
    </row>
    <row r="26" spans="1:17" ht="15.75" thickBot="1">
      <c r="K26" s="73"/>
      <c r="L26" s="73"/>
      <c r="M26" s="73"/>
      <c r="N26" s="17"/>
    </row>
    <row r="27" spans="1:17" ht="15.75" thickBot="1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1"/>
    </row>
    <row r="28" spans="1:17" ht="15.75" thickBot="1">
      <c r="A28" s="42">
        <v>43770</v>
      </c>
      <c r="B28" s="43">
        <v>521269.53460000001</v>
      </c>
      <c r="C28" s="8">
        <v>277.03859999999997</v>
      </c>
      <c r="D28" s="44">
        <f>+ROUND((B28*C28),0)</f>
        <v>144411782</v>
      </c>
      <c r="E28" s="72">
        <v>0</v>
      </c>
      <c r="F28" s="44">
        <f>+E28/30</f>
        <v>0</v>
      </c>
      <c r="G28" s="45">
        <v>0</v>
      </c>
      <c r="H28" s="46">
        <v>0</v>
      </c>
      <c r="I28" s="47">
        <f>((1+H28)^0.083334-1)*100</f>
        <v>0</v>
      </c>
      <c r="J28" s="48">
        <v>0</v>
      </c>
      <c r="K28" s="48">
        <v>0</v>
      </c>
      <c r="L28" s="49">
        <f>+D28</f>
        <v>144411782</v>
      </c>
      <c r="M28" s="48">
        <v>0</v>
      </c>
      <c r="N28" s="50">
        <f>+L28</f>
        <v>144411782</v>
      </c>
      <c r="O28" s="4"/>
      <c r="P28" s="52"/>
    </row>
    <row r="29" spans="1:17">
      <c r="A29" s="42">
        <v>43770</v>
      </c>
      <c r="B29" s="36">
        <f>+B28</f>
        <v>521269.53460000001</v>
      </c>
      <c r="C29" s="8">
        <v>277.03859999999997</v>
      </c>
      <c r="D29" s="7">
        <f>+ROUND((B29*C29),0)</f>
        <v>144411782</v>
      </c>
      <c r="E29" s="67">
        <v>494</v>
      </c>
      <c r="F29" s="7">
        <f>+E29/30</f>
        <v>16.466666666666665</v>
      </c>
      <c r="G29" s="9">
        <v>9.7199999999999995E-2</v>
      </c>
      <c r="H29" s="5">
        <f>+G29*1.5</f>
        <v>0.14579999999999999</v>
      </c>
      <c r="I29" s="6">
        <f>((1+H29)^0.083334-1)*100</f>
        <v>1.1406578828794034</v>
      </c>
      <c r="J29" s="35">
        <f>+ROUND(((D29*E29*H29)/360),0)</f>
        <v>28892465</v>
      </c>
      <c r="K29" s="35">
        <v>0</v>
      </c>
      <c r="L29" s="35">
        <v>0</v>
      </c>
      <c r="M29" s="35">
        <v>0</v>
      </c>
      <c r="N29" s="13">
        <f>+J29</f>
        <v>28892465</v>
      </c>
    </row>
    <row r="30" spans="1:17" ht="15.75" thickBot="1">
      <c r="A30" s="101" t="s">
        <v>20</v>
      </c>
      <c r="B30" s="102"/>
      <c r="C30" s="102"/>
      <c r="D30" s="102"/>
      <c r="E30" s="102"/>
      <c r="F30" s="102"/>
      <c r="G30" s="102"/>
      <c r="H30" s="102"/>
      <c r="I30" s="102"/>
      <c r="J30" s="103"/>
      <c r="K30" s="73"/>
      <c r="L30" s="73"/>
      <c r="M30" s="73"/>
      <c r="N30" s="17">
        <f>SUM(N28:N29)</f>
        <v>173304247</v>
      </c>
      <c r="P30" s="52"/>
    </row>
    <row r="31" spans="1:17" ht="15.75" thickBot="1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1"/>
    </row>
    <row r="32" spans="1:17">
      <c r="A32" s="54" t="s">
        <v>39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6"/>
      <c r="N32" s="51">
        <f>N5+N10+N15+N20+N28</f>
        <v>152694815</v>
      </c>
    </row>
    <row r="33" spans="1:14">
      <c r="A33" s="57" t="s">
        <v>40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9"/>
      <c r="N33" s="53">
        <f>K25</f>
        <v>4948959</v>
      </c>
    </row>
    <row r="34" spans="1:14">
      <c r="A34" s="57" t="s">
        <v>41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9"/>
      <c r="N34" s="53">
        <f>J25+J29</f>
        <v>29025579</v>
      </c>
    </row>
    <row r="35" spans="1:14" ht="15.75" thickBot="1">
      <c r="A35" s="98" t="s">
        <v>27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100"/>
      <c r="N35" s="17">
        <f>SUM(N32:N34)</f>
        <v>186669353</v>
      </c>
    </row>
    <row r="36" spans="1:14" ht="52.5" customHeight="1" thickBot="1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5"/>
    </row>
    <row r="46" spans="1:14">
      <c r="N46" s="66"/>
    </row>
  </sheetData>
  <mergeCells count="10">
    <mergeCell ref="A1:N1"/>
    <mergeCell ref="A2:N2"/>
    <mergeCell ref="A8:J8"/>
    <mergeCell ref="A13:J13"/>
    <mergeCell ref="A18:J18"/>
    <mergeCell ref="A35:M35"/>
    <mergeCell ref="A36:N36"/>
    <mergeCell ref="A30:J30"/>
    <mergeCell ref="A25:H25"/>
    <mergeCell ref="A23:J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4" scale="79" orientation="landscape" horizontalDpi="4294967294" verticalDpi="4294967294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DFD1C4A3042941BDA30DD97D71C162" ma:contentTypeVersion="13" ma:contentTypeDescription="Crear nuevo documento." ma:contentTypeScope="" ma:versionID="e616f805635ed72beb9c0d011f89fc4a">
  <xsd:schema xmlns:xsd="http://www.w3.org/2001/XMLSchema" xmlns:xs="http://www.w3.org/2001/XMLSchema" xmlns:p="http://schemas.microsoft.com/office/2006/metadata/properties" xmlns:ns2="66fe379b-cd6a-45f7-8b60-ee6321a87192" xmlns:ns3="ed5ed799-ae7a-4edf-958e-1dd20108e558" targetNamespace="http://schemas.microsoft.com/office/2006/metadata/properties" ma:root="true" ma:fieldsID="fdb89077d14dfcbb6d2111a069449af8" ns2:_="" ns3:_="">
    <xsd:import namespace="66fe379b-cd6a-45f7-8b60-ee6321a87192"/>
    <xsd:import namespace="ed5ed799-ae7a-4edf-958e-1dd20108e5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e379b-cd6a-45f7-8b60-ee6321a87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5ed799-ae7a-4edf-958e-1dd20108e55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4535CB-9C48-457E-AD6E-081AE2CA9368}"/>
</file>

<file path=customXml/itemProps2.xml><?xml version="1.0" encoding="utf-8"?>
<ds:datastoreItem xmlns:ds="http://schemas.openxmlformats.org/officeDocument/2006/customXml" ds:itemID="{0D9CF2FA-AAE2-4C79-9503-53EABCE00673}"/>
</file>

<file path=customXml/itemProps3.xml><?xml version="1.0" encoding="utf-8"?>
<ds:datastoreItem xmlns:ds="http://schemas.openxmlformats.org/officeDocument/2006/customXml" ds:itemID="{BE1ED24B-DEE6-485A-8308-685A0CDAA7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Juzgado 02 Civil Circuito - Meta - Villavicencio</cp:lastModifiedBy>
  <cp:revision/>
  <dcterms:created xsi:type="dcterms:W3CDTF">2018-05-27T19:50:52Z</dcterms:created>
  <dcterms:modified xsi:type="dcterms:W3CDTF">2021-05-27T15:31:03Z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0x0101000BDFD1C4A3042941BDA30DD97D71C162</vt:lpwstr>
  </property>
</Properties>
</file>