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14"/>
  <workbookPr/>
  <mc:AlternateContent xmlns:mc="http://schemas.openxmlformats.org/markup-compatibility/2006">
    <mc:Choice Requires="x15">
      <x15ac:absPath xmlns:x15ac="http://schemas.microsoft.com/office/spreadsheetml/2010/11/ac" url="D:\JoDiazMu\escritorio\SIGCMA\SIGCMA 2024\EJECUCION PPTAL 2024\EJECUCION PPTAL AL 30 JUNIO 2024\"/>
    </mc:Choice>
  </mc:AlternateContent>
  <xr:revisionPtr revIDLastSave="0" documentId="13_ncr:1_{ABDCABA0-1736-42CD-A86B-B91EB3200C7B}" xr6:coauthVersionLast="47" xr6:coauthVersionMax="47" xr10:uidLastSave="{00000000-0000-0000-0000-000000000000}"/>
  <bookViews>
    <workbookView xWindow="0" yWindow="0" windowWidth="28800" windowHeight="12225" firstSheet="7" activeTab="7" xr2:uid="{00000000-000D-0000-FFFF-FFFF00000000}"/>
  </bookViews>
  <sheets>
    <sheet name="EJECUCIÓN PPTAL 2017" sheetId="16" r:id="rId1"/>
    <sheet name="EJECUCIÓN PPTAL  2018" sheetId="19" r:id="rId2"/>
    <sheet name="EJECUCIÓN PPTAL  2019" sheetId="20" r:id="rId3"/>
    <sheet name="EJECUCIÓN PPTAL  2020" sheetId="21" r:id="rId4"/>
    <sheet name="EJECUCIÓN PPTAL  2021" sheetId="22" r:id="rId5"/>
    <sheet name="EJECUCIÓN PPTAL  2022" sheetId="24" r:id="rId6"/>
    <sheet name="EJECUCIÓN PPTAL  2023" sheetId="25" r:id="rId7"/>
    <sheet name="EJECUCIÓN PPTAL  2024" sheetId="26" r:id="rId8"/>
    <sheet name="Hoja1" sheetId="23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26" l="1"/>
  <c r="H24" i="26"/>
  <c r="J28" i="26"/>
  <c r="I28" i="26"/>
  <c r="K24" i="26"/>
  <c r="H19" i="26"/>
  <c r="J17" i="26"/>
  <c r="J15" i="26"/>
  <c r="J19" i="26" s="1"/>
  <c r="J8" i="26"/>
  <c r="I8" i="26"/>
  <c r="H8" i="26"/>
  <c r="K6" i="26"/>
  <c r="K4" i="26"/>
  <c r="K8" i="26" s="1"/>
  <c r="H28" i="26" l="1"/>
  <c r="K26" i="26"/>
  <c r="K28" i="26" s="1"/>
  <c r="C26" i="26"/>
  <c r="C25" i="26"/>
  <c r="C13" i="26"/>
  <c r="C12" i="26"/>
  <c r="B26" i="26" l="1"/>
  <c r="B13" i="26"/>
  <c r="B21" i="26" s="1"/>
  <c r="B5" i="26" s="1"/>
  <c r="E34" i="26"/>
  <c r="E6" i="26" s="1"/>
  <c r="D34" i="26"/>
  <c r="D6" i="26" s="1"/>
  <c r="C34" i="26"/>
  <c r="C6" i="26" s="1"/>
  <c r="B34" i="26"/>
  <c r="B6" i="26" s="1"/>
  <c r="E21" i="26"/>
  <c r="E5" i="26" s="1"/>
  <c r="D21" i="26"/>
  <c r="C21" i="26"/>
  <c r="C5" i="26" s="1"/>
  <c r="D5" i="26"/>
  <c r="D7" i="26" s="1"/>
  <c r="C7" i="26" l="1"/>
  <c r="B7" i="26"/>
  <c r="E7" i="26"/>
  <c r="B29" i="25"/>
  <c r="C34" i="25"/>
  <c r="C6" i="25" s="1"/>
  <c r="B34" i="25"/>
  <c r="B6" i="25" s="1"/>
  <c r="E34" i="25"/>
  <c r="E6" i="25" s="1"/>
  <c r="D34" i="25"/>
  <c r="D6" i="25" s="1"/>
  <c r="E21" i="25"/>
  <c r="E5" i="25" s="1"/>
  <c r="E7" i="25" s="1"/>
  <c r="D21" i="25"/>
  <c r="D5" i="25" s="1"/>
  <c r="B21" i="25"/>
  <c r="B5" i="25" s="1"/>
  <c r="C21" i="25"/>
  <c r="C5" i="25" s="1"/>
  <c r="B7" i="25" l="1"/>
  <c r="D7" i="25"/>
  <c r="C7" i="25"/>
  <c r="E32" i="24"/>
  <c r="E19" i="24"/>
  <c r="E29" i="24"/>
  <c r="E16" i="24"/>
  <c r="E26" i="24"/>
  <c r="E13" i="24"/>
  <c r="D32" i="24" l="1"/>
  <c r="D19" i="24"/>
  <c r="D29" i="24"/>
  <c r="D16" i="24"/>
  <c r="D26" i="24"/>
  <c r="D13" i="24"/>
  <c r="C32" i="24" l="1"/>
  <c r="C19" i="24"/>
  <c r="C29" i="24"/>
  <c r="C16" i="24"/>
  <c r="C26" i="24"/>
  <c r="C13" i="24"/>
  <c r="C12" i="24"/>
  <c r="B32" i="24" l="1"/>
  <c r="B19" i="24"/>
  <c r="B29" i="24"/>
  <c r="B16" i="24"/>
  <c r="B26" i="24"/>
  <c r="B13" i="24"/>
  <c r="E34" i="24"/>
  <c r="E6" i="24" s="1"/>
  <c r="D34" i="24"/>
  <c r="D6" i="24" s="1"/>
  <c r="C34" i="24"/>
  <c r="C6" i="24" s="1"/>
  <c r="E21" i="24"/>
  <c r="E5" i="24" s="1"/>
  <c r="D21" i="24"/>
  <c r="D5" i="24" s="1"/>
  <c r="D7" i="24" s="1"/>
  <c r="C21" i="24"/>
  <c r="C5" i="24" s="1"/>
  <c r="C7" i="24" s="1"/>
  <c r="E7" i="24" l="1"/>
  <c r="B21" i="24"/>
  <c r="B5" i="24" s="1"/>
  <c r="B34" i="24"/>
  <c r="B6" i="24" s="1"/>
  <c r="E16" i="22"/>
  <c r="E26" i="22"/>
  <c r="E23" i="22"/>
  <c r="E28" i="22"/>
  <c r="E6" i="22"/>
  <c r="E13" i="22"/>
  <c r="D26" i="22"/>
  <c r="D23" i="22"/>
  <c r="D28" i="22"/>
  <c r="D6" i="22"/>
  <c r="D16" i="22"/>
  <c r="D13" i="22"/>
  <c r="D18" i="22"/>
  <c r="D5" i="22"/>
  <c r="C26" i="22"/>
  <c r="C23" i="22"/>
  <c r="C28" i="22"/>
  <c r="C6" i="22"/>
  <c r="C16" i="22"/>
  <c r="C13" i="22"/>
  <c r="C18" i="22"/>
  <c r="C5" i="22"/>
  <c r="B26" i="22"/>
  <c r="B16" i="22"/>
  <c r="B23" i="22"/>
  <c r="B22" i="22"/>
  <c r="B28" i="22"/>
  <c r="B6" i="22"/>
  <c r="B13" i="22"/>
  <c r="B12" i="22"/>
  <c r="B18" i="22" s="1"/>
  <c r="B5" i="22" s="1"/>
  <c r="B7" i="22" s="1"/>
  <c r="E20" i="21"/>
  <c r="E16" i="21"/>
  <c r="E30" i="21"/>
  <c r="E27" i="21"/>
  <c r="E26" i="21"/>
  <c r="E17" i="21"/>
  <c r="E22" i="21" s="1"/>
  <c r="E6" i="21" s="1"/>
  <c r="D30" i="21"/>
  <c r="D27" i="21"/>
  <c r="D26" i="21"/>
  <c r="D32" i="21" s="1"/>
  <c r="D7" i="21" s="1"/>
  <c r="D20" i="21"/>
  <c r="D17" i="21"/>
  <c r="D16" i="21"/>
  <c r="D22" i="21"/>
  <c r="D6" i="21"/>
  <c r="C30" i="21"/>
  <c r="C27" i="21"/>
  <c r="C32" i="21" s="1"/>
  <c r="C7" i="21" s="1"/>
  <c r="C20" i="21"/>
  <c r="C22" i="21"/>
  <c r="C6" i="21"/>
  <c r="C8" i="21"/>
  <c r="B27" i="21"/>
  <c r="B32" i="21"/>
  <c r="B7" i="21"/>
  <c r="B22" i="21"/>
  <c r="B6" i="21"/>
  <c r="E32" i="20"/>
  <c r="E7" i="20"/>
  <c r="E22" i="20"/>
  <c r="E6" i="20"/>
  <c r="D30" i="20"/>
  <c r="D20" i="20"/>
  <c r="D27" i="20"/>
  <c r="D26" i="20"/>
  <c r="D32" i="20"/>
  <c r="D7" i="20"/>
  <c r="D16" i="20"/>
  <c r="D22" i="20"/>
  <c r="D6" i="20"/>
  <c r="C27" i="20"/>
  <c r="C32" i="20"/>
  <c r="C7" i="20"/>
  <c r="C22" i="20"/>
  <c r="C6" i="20"/>
  <c r="B32" i="20"/>
  <c r="B7" i="20"/>
  <c r="B22" i="20"/>
  <c r="B6" i="20"/>
  <c r="B8" i="20"/>
  <c r="E17" i="19"/>
  <c r="E27" i="19"/>
  <c r="D27" i="19"/>
  <c r="C27" i="19"/>
  <c r="B18" i="19"/>
  <c r="B22" i="19"/>
  <c r="B6" i="19"/>
  <c r="C18" i="19"/>
  <c r="C22" i="19"/>
  <c r="C6" i="19"/>
  <c r="D18" i="19"/>
  <c r="D22" i="19"/>
  <c r="D6" i="19"/>
  <c r="E18" i="19"/>
  <c r="E22" i="19"/>
  <c r="E6" i="19"/>
  <c r="B28" i="19"/>
  <c r="B32" i="19"/>
  <c r="B7" i="19"/>
  <c r="B8" i="19" s="1"/>
  <c r="C28" i="19"/>
  <c r="C32" i="19"/>
  <c r="C7" i="19"/>
  <c r="D28" i="19"/>
  <c r="D32" i="19"/>
  <c r="D7" i="19"/>
  <c r="D8" i="19" s="1"/>
  <c r="E28" i="19"/>
  <c r="E32" i="19"/>
  <c r="E7" i="19"/>
  <c r="D28" i="16"/>
  <c r="D32" i="16"/>
  <c r="D7" i="16"/>
  <c r="D18" i="16"/>
  <c r="D22" i="16"/>
  <c r="D6" i="16"/>
  <c r="E28" i="16"/>
  <c r="E32" i="16"/>
  <c r="E7" i="16"/>
  <c r="E18" i="16"/>
  <c r="E22" i="16"/>
  <c r="E6" i="16"/>
  <c r="C28" i="16"/>
  <c r="C32" i="16"/>
  <c r="C7" i="16"/>
  <c r="C18" i="16"/>
  <c r="C22" i="16"/>
  <c r="C6" i="16"/>
  <c r="B28" i="16"/>
  <c r="B32" i="16"/>
  <c r="B18" i="16"/>
  <c r="B22" i="16"/>
  <c r="B6" i="16"/>
  <c r="B7" i="16"/>
  <c r="B8" i="16" s="1"/>
  <c r="C8" i="19"/>
  <c r="E8" i="19"/>
  <c r="C8" i="20"/>
  <c r="E8" i="20"/>
  <c r="D8" i="20"/>
  <c r="D8" i="16"/>
  <c r="C8" i="16"/>
  <c r="E8" i="16"/>
  <c r="B8" i="21"/>
  <c r="D8" i="21"/>
  <c r="E32" i="21"/>
  <c r="E7" i="21"/>
  <c r="C7" i="22"/>
  <c r="D7" i="22"/>
  <c r="E18" i="22"/>
  <c r="E5" i="22"/>
  <c r="E7" i="22" s="1"/>
  <c r="B7" i="24" l="1"/>
  <c r="E8" i="21"/>
</calcChain>
</file>

<file path=xl/sharedStrings.xml><?xml version="1.0" encoding="utf-8"?>
<sst xmlns="http://schemas.openxmlformats.org/spreadsheetml/2006/main" count="252" uniqueCount="35">
  <si>
    <t>AÑO 2017</t>
  </si>
  <si>
    <t>ACUMULADO</t>
  </si>
  <si>
    <t xml:space="preserve">VARIABLES </t>
  </si>
  <si>
    <t>TRIMESTRE 1</t>
  </si>
  <si>
    <t>TRIMESTRE 2</t>
  </si>
  <si>
    <t>TRIMESTRE 3</t>
  </si>
  <si>
    <t>TRIMESTRE 4</t>
  </si>
  <si>
    <t>RECURSOS COMPROMETIDOS</t>
  </si>
  <si>
    <t xml:space="preserve">RECURSOS APROPIADOS </t>
  </si>
  <si>
    <t>Recursos comprometidos (AU-AV)</t>
  </si>
  <si>
    <t>Unidad 02</t>
  </si>
  <si>
    <t>funcionamiento</t>
  </si>
  <si>
    <t>inversion</t>
  </si>
  <si>
    <t>Unidad 08</t>
  </si>
  <si>
    <t>Total recursos comprometidos</t>
  </si>
  <si>
    <t>Recursos apropiados (AP)</t>
  </si>
  <si>
    <t>Total recursos apropiados</t>
  </si>
  <si>
    <t>AÑO 2018</t>
  </si>
  <si>
    <t>AÑO 2019</t>
  </si>
  <si>
    <t>AÑO 2020</t>
  </si>
  <si>
    <t>AÑO 2021</t>
  </si>
  <si>
    <t>AÑO 2022</t>
  </si>
  <si>
    <t>Unidad 09</t>
  </si>
  <si>
    <t>AÑO 2023</t>
  </si>
  <si>
    <t>AÑO 2024</t>
  </si>
  <si>
    <t>TRIMESTRE 2 2024</t>
  </si>
  <si>
    <t>FUNCIONAMIENTO</t>
  </si>
  <si>
    <t>UNIDAD 2</t>
  </si>
  <si>
    <t>UNIDAD 8</t>
  </si>
  <si>
    <t>UNIDAD 9</t>
  </si>
  <si>
    <t>TOTALES</t>
  </si>
  <si>
    <t>% DE EJECUCION</t>
  </si>
  <si>
    <t>INVERSION</t>
  </si>
  <si>
    <t>GRAN TOTAL</t>
  </si>
  <si>
    <t>FUNCIONAMIENTO E 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</si>
</sst>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"/>
    <numFmt numFmtId="167" formatCode="&quot;$&quot;\ #,##0.00"/>
  </numFmts>
  <fonts count="10">
    <font>
      <sz val="10"/>
      <name val="Arial"/>
    </font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6"/>
      <color rgb="FF000000"/>
      <name val="Arial Narrow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164" fontId="3" fillId="0" borderId="0" xfId="2" applyFont="1" applyFill="1" applyBorder="1"/>
    <xf numFmtId="165" fontId="0" fillId="0" borderId="0" xfId="0" applyNumberFormat="1"/>
    <xf numFmtId="164" fontId="0" fillId="0" borderId="0" xfId="2" applyFont="1"/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Font="1" applyBorder="1"/>
    <xf numFmtId="2" fontId="0" fillId="0" borderId="1" xfId="0" applyNumberFormat="1" applyBorder="1"/>
    <xf numFmtId="0" fontId="0" fillId="0" borderId="2" xfId="0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" fontId="0" fillId="0" borderId="0" xfId="0" applyNumberFormat="1"/>
    <xf numFmtId="4" fontId="7" fillId="0" borderId="0" xfId="0" applyNumberFormat="1" applyFont="1" applyAlignment="1">
      <alignment horizontal="right" vertical="center" wrapText="1" readingOrder="1"/>
    </xf>
    <xf numFmtId="4" fontId="0" fillId="0" borderId="0" xfId="0" applyNumberFormat="1" applyAlignment="1">
      <alignment horizontal="right"/>
    </xf>
    <xf numFmtId="0" fontId="8" fillId="0" borderId="0" xfId="0" applyFont="1" applyAlignment="1">
      <alignment horizontal="right" vertical="center" wrapText="1" readingOrder="1"/>
    </xf>
    <xf numFmtId="4" fontId="7" fillId="0" borderId="0" xfId="0" applyNumberFormat="1" applyFont="1" applyAlignment="1">
      <alignment vertical="center" wrapText="1" readingOrder="1"/>
    </xf>
    <xf numFmtId="4" fontId="2" fillId="0" borderId="0" xfId="0" applyNumberFormat="1" applyFont="1" applyAlignment="1">
      <alignment readingOrder="1"/>
    </xf>
    <xf numFmtId="165" fontId="7" fillId="0" borderId="0" xfId="1" applyFont="1" applyFill="1" applyBorder="1" applyAlignment="1">
      <alignment horizontal="right" vertical="center" wrapText="1" readingOrder="1"/>
    </xf>
    <xf numFmtId="4" fontId="2" fillId="0" borderId="0" xfId="0" applyNumberFormat="1" applyFont="1"/>
    <xf numFmtId="166" fontId="0" fillId="0" borderId="1" xfId="0" applyNumberFormat="1" applyBorder="1"/>
    <xf numFmtId="167" fontId="0" fillId="0" borderId="0" xfId="0" applyNumberFormat="1"/>
    <xf numFmtId="0" fontId="4" fillId="0" borderId="2" xfId="0" applyFont="1" applyBorder="1" applyAlignment="1">
      <alignment horizontal="center"/>
    </xf>
    <xf numFmtId="0" fontId="3" fillId="0" borderId="0" xfId="0" applyFont="1"/>
    <xf numFmtId="0" fontId="0" fillId="0" borderId="2" xfId="0" applyBorder="1" applyAlignment="1">
      <alignment horizontal="center"/>
    </xf>
    <xf numFmtId="0" fontId="5" fillId="0" borderId="6" xfId="0" applyFont="1" applyBorder="1"/>
    <xf numFmtId="0" fontId="4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0" xfId="0" applyFont="1" applyAlignment="1">
      <alignment readingOrder="1"/>
    </xf>
    <xf numFmtId="0" fontId="0" fillId="2" borderId="7" xfId="0" applyFill="1" applyBorder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1" xfId="0" applyNumberFormat="1" applyBorder="1"/>
    <xf numFmtId="43" fontId="0" fillId="0" borderId="0" xfId="0" applyNumberFormat="1"/>
    <xf numFmtId="10" fontId="0" fillId="0" borderId="1" xfId="0" applyNumberFormat="1" applyBorder="1"/>
    <xf numFmtId="0" fontId="2" fillId="2" borderId="7" xfId="0" applyFont="1" applyFill="1" applyBorder="1"/>
    <xf numFmtId="0" fontId="4" fillId="0" borderId="9" xfId="0" applyFont="1" applyBorder="1" applyAlignment="1">
      <alignment horizontal="center"/>
    </xf>
    <xf numFmtId="0" fontId="0" fillId="0" borderId="9" xfId="0" applyBorder="1"/>
    <xf numFmtId="0" fontId="4" fillId="2" borderId="9" xfId="0" applyFont="1" applyFill="1" applyBorder="1"/>
    <xf numFmtId="0" fontId="4" fillId="0" borderId="7" xfId="0" applyFont="1" applyBorder="1"/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8" fillId="0" borderId="0" xfId="0" applyFont="1" applyAlignment="1">
      <alignment horizontal="right" vertical="center" wrapText="1" readingOrder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0" borderId="0" xfId="0" applyFont="1" applyAlignment="1"/>
  </cellXfs>
  <cellStyles count="4">
    <cellStyle name="Millares" xfId="1" builtinId="3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zoomScale="110" zoomScaleNormal="110" workbookViewId="0">
      <selection sqref="A1:E1"/>
    </sheetView>
  </sheetViews>
  <sheetFormatPr defaultColWidth="9.140625" defaultRowHeight="12.75"/>
  <cols>
    <col min="1" max="1" width="31.42578125" bestFit="1" customWidth="1"/>
    <col min="2" max="2" width="21.7109375" customWidth="1"/>
    <col min="3" max="3" width="21" customWidth="1"/>
    <col min="4" max="4" width="21.28515625" customWidth="1"/>
    <col min="5" max="5" width="20.85546875" customWidth="1"/>
    <col min="6" max="9" width="11.42578125" customWidth="1"/>
    <col min="10" max="10" width="19.5703125" customWidth="1"/>
    <col min="11" max="256" width="11.42578125" customWidth="1"/>
  </cols>
  <sheetData>
    <row r="1" spans="1:10">
      <c r="A1" s="50"/>
      <c r="B1" s="51"/>
      <c r="C1" s="51"/>
      <c r="D1" s="51"/>
      <c r="E1" s="52"/>
    </row>
    <row r="2" spans="1:10" ht="16.5" thickBot="1">
      <c r="A2" s="48" t="s">
        <v>0</v>
      </c>
      <c r="B2" s="49"/>
      <c r="C2" s="49"/>
      <c r="D2" s="49"/>
      <c r="E2" s="49"/>
    </row>
    <row r="3" spans="1:10" ht="16.5" thickBot="1">
      <c r="A3" s="12"/>
      <c r="B3" s="53" t="s">
        <v>1</v>
      </c>
      <c r="C3" s="54"/>
      <c r="D3" s="54"/>
      <c r="E3" s="55"/>
    </row>
    <row r="4" spans="1:10" ht="13.5" thickBot="1">
      <c r="A4" s="13" t="s">
        <v>2</v>
      </c>
      <c r="B4" s="9" t="s">
        <v>3</v>
      </c>
      <c r="C4" s="10" t="s">
        <v>4</v>
      </c>
      <c r="D4" s="10" t="s">
        <v>5</v>
      </c>
      <c r="E4" s="11" t="s">
        <v>6</v>
      </c>
    </row>
    <row r="5" spans="1:10">
      <c r="A5" s="8"/>
      <c r="B5" s="8"/>
      <c r="C5" s="8"/>
      <c r="D5" s="8"/>
      <c r="E5" s="8"/>
    </row>
    <row r="6" spans="1:10">
      <c r="A6" s="5" t="s">
        <v>7</v>
      </c>
      <c r="B6" s="6">
        <f>1398788954+23451572464</f>
        <v>24850361418</v>
      </c>
      <c r="C6" s="6">
        <f>+C22</f>
        <v>52804802359.800003</v>
      </c>
      <c r="D6" s="6">
        <f>+D22</f>
        <v>84098453397.5</v>
      </c>
      <c r="E6" s="6">
        <f>+E22</f>
        <v>121310132823.8</v>
      </c>
    </row>
    <row r="7" spans="1:10">
      <c r="A7" s="5" t="s">
        <v>8</v>
      </c>
      <c r="B7" s="6">
        <f>4519233663+88346289997</f>
        <v>92865523660</v>
      </c>
      <c r="C7" s="6">
        <f>+C32</f>
        <v>94521735477</v>
      </c>
      <c r="D7" s="6">
        <f>+D32</f>
        <v>99337971638.5</v>
      </c>
      <c r="E7" s="6">
        <f>+E32</f>
        <v>121311935985.8</v>
      </c>
    </row>
    <row r="8" spans="1:10">
      <c r="A8" s="4"/>
      <c r="B8" s="7">
        <f>SUM(B6/B7)*100</f>
        <v>26.759512506473708</v>
      </c>
      <c r="C8" s="7">
        <f>SUM(C6/C7)*100</f>
        <v>55.865248446109007</v>
      </c>
      <c r="D8" s="7">
        <f>SUM(D6/D7)*100</f>
        <v>84.658919454830411</v>
      </c>
      <c r="E8" s="27">
        <f>SUM(E6/E7)*100</f>
        <v>99.998513615345971</v>
      </c>
    </row>
    <row r="10" spans="1:10" ht="15">
      <c r="J10" s="1"/>
    </row>
    <row r="11" spans="1:10">
      <c r="J11" s="2"/>
    </row>
    <row r="12" spans="1:10" ht="13.5" thickBot="1">
      <c r="J12" s="2"/>
    </row>
    <row r="13" spans="1:10" ht="13.5" thickBot="1">
      <c r="B13" s="9" t="s">
        <v>3</v>
      </c>
      <c r="C13" s="10" t="s">
        <v>4</v>
      </c>
      <c r="D13" s="10" t="s">
        <v>5</v>
      </c>
      <c r="E13" s="11" t="s">
        <v>6</v>
      </c>
      <c r="J13" s="3"/>
    </row>
    <row r="14" spans="1:10">
      <c r="A14" s="17" t="s">
        <v>9</v>
      </c>
    </row>
    <row r="15" spans="1:10">
      <c r="A15" s="15" t="s">
        <v>10</v>
      </c>
    </row>
    <row r="16" spans="1:10">
      <c r="A16" t="s">
        <v>11</v>
      </c>
      <c r="B16" s="19">
        <v>1216835186</v>
      </c>
      <c r="C16" s="19">
        <v>2314812034</v>
      </c>
      <c r="D16" s="20">
        <v>3476842074</v>
      </c>
      <c r="E16" s="20">
        <v>4681968931</v>
      </c>
      <c r="F16" s="20"/>
    </row>
    <row r="17" spans="1:7" ht="15">
      <c r="A17" t="s">
        <v>12</v>
      </c>
      <c r="B17" s="19">
        <v>181953768</v>
      </c>
      <c r="C17" s="19">
        <v>181953768</v>
      </c>
      <c r="D17" s="20">
        <v>991447155</v>
      </c>
      <c r="E17" s="20">
        <v>1599615590</v>
      </c>
      <c r="F17" s="56"/>
      <c r="G17" s="59"/>
    </row>
    <row r="18" spans="1:7">
      <c r="B18" s="19">
        <f>SUM(B16:B17)</f>
        <v>1398788954</v>
      </c>
      <c r="C18" s="19">
        <f>SUM(C16:C17)</f>
        <v>2496765802</v>
      </c>
      <c r="D18" s="19">
        <f>SUM(D16:D17)</f>
        <v>4468289229</v>
      </c>
      <c r="E18" s="19">
        <f>SUM(E16:E17)</f>
        <v>6281584521</v>
      </c>
    </row>
    <row r="19" spans="1:7">
      <c r="A19" s="16" t="s">
        <v>13</v>
      </c>
      <c r="B19" s="19"/>
      <c r="C19" s="19"/>
      <c r="D19" s="19"/>
      <c r="E19" s="19"/>
    </row>
    <row r="20" spans="1:7" ht="15">
      <c r="A20" s="14" t="s">
        <v>11</v>
      </c>
      <c r="B20" s="19">
        <v>23451572464</v>
      </c>
      <c r="C20" s="19">
        <v>50308036557.800003</v>
      </c>
      <c r="D20" s="21">
        <v>79630164168.5</v>
      </c>
      <c r="E20" s="21">
        <v>115028548302.8</v>
      </c>
      <c r="F20" s="56"/>
      <c r="G20" s="59"/>
    </row>
    <row r="21" spans="1:7">
      <c r="B21" s="19"/>
      <c r="C21" s="19"/>
      <c r="D21" s="19"/>
      <c r="E21" s="19"/>
    </row>
    <row r="22" spans="1:7">
      <c r="A22" s="18" t="s">
        <v>14</v>
      </c>
      <c r="B22" s="19">
        <f>+B18+B20</f>
        <v>24850361418</v>
      </c>
      <c r="C22" s="19">
        <f>+C18+C20</f>
        <v>52804802359.800003</v>
      </c>
      <c r="D22" s="19">
        <f>+D18+D20</f>
        <v>84098453397.5</v>
      </c>
      <c r="E22" s="19">
        <f>+E18+E20</f>
        <v>121310132823.8</v>
      </c>
    </row>
    <row r="23" spans="1:7">
      <c r="B23" s="19"/>
      <c r="C23" s="19"/>
      <c r="D23" s="19"/>
      <c r="E23" s="19"/>
    </row>
    <row r="24" spans="1:7">
      <c r="A24" s="17" t="s">
        <v>15</v>
      </c>
      <c r="B24" s="19"/>
      <c r="C24" s="19"/>
      <c r="D24" s="19"/>
      <c r="E24" s="19"/>
    </row>
    <row r="25" spans="1:7">
      <c r="A25" s="16" t="s">
        <v>10</v>
      </c>
      <c r="B25" s="19"/>
      <c r="C25" s="19"/>
      <c r="D25" s="19"/>
      <c r="E25" s="19"/>
    </row>
    <row r="26" spans="1:7">
      <c r="A26" s="14" t="s">
        <v>11</v>
      </c>
      <c r="B26" s="19">
        <v>3546120880</v>
      </c>
      <c r="C26" s="19">
        <v>3748947218</v>
      </c>
      <c r="D26" s="21">
        <v>4180147218</v>
      </c>
      <c r="E26" s="21">
        <v>4682954333</v>
      </c>
      <c r="F26" s="22"/>
    </row>
    <row r="27" spans="1:7">
      <c r="A27" s="14" t="s">
        <v>12</v>
      </c>
      <c r="B27" s="19">
        <v>973112783</v>
      </c>
      <c r="C27" s="19">
        <v>1013112783</v>
      </c>
      <c r="D27" s="21">
        <v>1600064461</v>
      </c>
      <c r="E27" s="21">
        <v>1599624104</v>
      </c>
      <c r="F27" s="22"/>
    </row>
    <row r="28" spans="1:7">
      <c r="B28" s="19">
        <f>SUM(B26:B27)</f>
        <v>4519233663</v>
      </c>
      <c r="C28" s="19">
        <f>SUM(C26:C27)</f>
        <v>4762060001</v>
      </c>
      <c r="D28" s="19">
        <f>SUM(D26:D27)</f>
        <v>5780211679</v>
      </c>
      <c r="E28" s="19">
        <f>SUM(E26:E27)</f>
        <v>6282578437</v>
      </c>
    </row>
    <row r="29" spans="1:7">
      <c r="A29" s="16" t="s">
        <v>13</v>
      </c>
      <c r="B29" s="19"/>
      <c r="C29" s="19"/>
      <c r="D29" s="19"/>
      <c r="E29" s="19"/>
    </row>
    <row r="30" spans="1:7">
      <c r="A30" s="14" t="s">
        <v>11</v>
      </c>
      <c r="B30" s="19">
        <v>88346289997</v>
      </c>
      <c r="C30" s="19">
        <v>89759675476</v>
      </c>
      <c r="D30" s="21">
        <v>93557759959.5</v>
      </c>
      <c r="E30" s="21">
        <v>115029357548.8</v>
      </c>
      <c r="F30" s="22"/>
    </row>
    <row r="31" spans="1:7">
      <c r="B31" s="19"/>
      <c r="C31" s="19"/>
      <c r="D31" s="19"/>
      <c r="E31" s="19"/>
    </row>
    <row r="32" spans="1:7">
      <c r="A32" s="18" t="s">
        <v>16</v>
      </c>
      <c r="B32" s="19">
        <f>+B28+B30</f>
        <v>92865523660</v>
      </c>
      <c r="C32" s="19">
        <f>+C28+C30</f>
        <v>94521735477</v>
      </c>
      <c r="D32" s="19">
        <f>+D28+D30</f>
        <v>99337971638.5</v>
      </c>
      <c r="E32" s="19">
        <f>+E28+E30</f>
        <v>121311935985.8</v>
      </c>
    </row>
  </sheetData>
  <mergeCells count="5">
    <mergeCell ref="A2:E2"/>
    <mergeCell ref="A1:E1"/>
    <mergeCell ref="B3:E3"/>
    <mergeCell ref="F17:G17"/>
    <mergeCell ref="F20:G20"/>
  </mergeCells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"/>
  <sheetViews>
    <sheetView zoomScale="110" zoomScaleNormal="110" workbookViewId="0">
      <pane xSplit="1" ySplit="13" topLeftCell="B14" activePane="bottomRight" state="frozen"/>
      <selection pane="bottomRight" sqref="A1:E1"/>
      <selection pane="bottomLeft" activeCell="A16" sqref="A16"/>
      <selection pane="topRight" activeCell="B1" sqref="B1"/>
    </sheetView>
  </sheetViews>
  <sheetFormatPr defaultColWidth="9.140625" defaultRowHeight="12.75"/>
  <cols>
    <col min="1" max="1" width="31.42578125" bestFit="1" customWidth="1"/>
    <col min="2" max="2" width="21.7109375" customWidth="1"/>
    <col min="3" max="3" width="21" customWidth="1"/>
    <col min="4" max="4" width="21.28515625" customWidth="1"/>
    <col min="5" max="5" width="20.85546875" customWidth="1"/>
    <col min="6" max="6" width="22.28515625" customWidth="1"/>
    <col min="7" max="9" width="11.42578125" customWidth="1"/>
    <col min="10" max="10" width="19.5703125" customWidth="1"/>
    <col min="11" max="256" width="11.42578125" customWidth="1"/>
  </cols>
  <sheetData>
    <row r="1" spans="1:11">
      <c r="A1" s="50"/>
      <c r="B1" s="51"/>
      <c r="C1" s="51"/>
      <c r="D1" s="51"/>
      <c r="E1" s="52"/>
    </row>
    <row r="2" spans="1:11" ht="16.5" thickBot="1">
      <c r="A2" s="48" t="s">
        <v>17</v>
      </c>
      <c r="B2" s="49"/>
      <c r="C2" s="49"/>
      <c r="D2" s="49"/>
      <c r="E2" s="49"/>
    </row>
    <row r="3" spans="1:11" ht="16.5" thickBot="1">
      <c r="A3" s="12"/>
      <c r="B3" s="53" t="s">
        <v>1</v>
      </c>
      <c r="C3" s="54"/>
      <c r="D3" s="54"/>
      <c r="E3" s="55"/>
    </row>
    <row r="4" spans="1:11" ht="13.5" thickBot="1">
      <c r="A4" s="13" t="s">
        <v>2</v>
      </c>
      <c r="B4" s="9" t="s">
        <v>3</v>
      </c>
      <c r="C4" s="10" t="s">
        <v>4</v>
      </c>
      <c r="D4" s="10" t="s">
        <v>5</v>
      </c>
      <c r="E4" s="11" t="s">
        <v>6</v>
      </c>
    </row>
    <row r="5" spans="1:11">
      <c r="A5" s="8"/>
      <c r="B5" s="8"/>
      <c r="C5" s="8"/>
      <c r="D5" s="8"/>
      <c r="E5" s="8"/>
    </row>
    <row r="6" spans="1:11">
      <c r="A6" s="5" t="s">
        <v>7</v>
      </c>
      <c r="B6" s="6">
        <f>+B22</f>
        <v>34222187599</v>
      </c>
      <c r="C6" s="6">
        <f>+C22</f>
        <v>66649825366</v>
      </c>
      <c r="D6" s="6">
        <f>+D22</f>
        <v>98239259438</v>
      </c>
      <c r="E6" s="6">
        <f>+E22</f>
        <v>139039408666</v>
      </c>
      <c r="F6" s="28"/>
    </row>
    <row r="7" spans="1:11">
      <c r="A7" s="5" t="s">
        <v>8</v>
      </c>
      <c r="B7" s="6">
        <f>+B32</f>
        <v>99922050633</v>
      </c>
      <c r="C7" s="6">
        <f>+C32</f>
        <v>101755892849</v>
      </c>
      <c r="D7" s="6">
        <f>+D32</f>
        <v>113093346101</v>
      </c>
      <c r="E7" s="6">
        <f>+E32</f>
        <v>139116685892</v>
      </c>
      <c r="F7" s="28"/>
    </row>
    <row r="8" spans="1:11">
      <c r="A8" s="4"/>
      <c r="B8" s="7">
        <f>SUM(B6/B7)*100</f>
        <v>34.248884387584681</v>
      </c>
      <c r="C8" s="7">
        <f>SUM(C6/C7)*100</f>
        <v>65.49972045835672</v>
      </c>
      <c r="D8" s="7">
        <f>SUM(D6/D7)*100</f>
        <v>86.865640486280867</v>
      </c>
      <c r="E8" s="27">
        <f>SUM(E6/E7)*100</f>
        <v>99.944451504501771</v>
      </c>
      <c r="F8" s="28"/>
    </row>
    <row r="9" spans="1:11">
      <c r="F9" s="28"/>
    </row>
    <row r="10" spans="1:11" ht="15">
      <c r="F10" s="28"/>
      <c r="J10" s="1"/>
    </row>
    <row r="11" spans="1:11">
      <c r="F11" s="28"/>
      <c r="J11" s="2"/>
    </row>
    <row r="12" spans="1:11" ht="13.5" thickBot="1">
      <c r="J12" s="2"/>
    </row>
    <row r="13" spans="1:11" ht="13.5" thickBot="1">
      <c r="B13" s="9" t="s">
        <v>3</v>
      </c>
      <c r="C13" s="10" t="s">
        <v>4</v>
      </c>
      <c r="D13" s="10" t="s">
        <v>5</v>
      </c>
      <c r="E13" s="11" t="s">
        <v>6</v>
      </c>
      <c r="J13" s="3"/>
    </row>
    <row r="14" spans="1:11">
      <c r="A14" s="17" t="s">
        <v>9</v>
      </c>
    </row>
    <row r="15" spans="1:11" ht="15">
      <c r="A15" s="15" t="s">
        <v>10</v>
      </c>
      <c r="G15" s="56"/>
      <c r="H15" s="59"/>
      <c r="J15" s="56"/>
      <c r="K15" s="59"/>
    </row>
    <row r="16" spans="1:11" ht="15">
      <c r="A16" t="s">
        <v>11</v>
      </c>
      <c r="B16" s="19">
        <v>1778885525</v>
      </c>
      <c r="C16" s="19">
        <v>2895465593</v>
      </c>
      <c r="D16" s="24">
        <v>3930084725</v>
      </c>
      <c r="E16" s="25">
        <v>5297740425</v>
      </c>
      <c r="F16" s="36"/>
      <c r="G16" s="56"/>
      <c r="H16" s="59"/>
      <c r="J16" s="56"/>
      <c r="K16" s="59"/>
    </row>
    <row r="17" spans="1:9" ht="15">
      <c r="A17" t="s">
        <v>12</v>
      </c>
      <c r="B17" s="19">
        <v>0</v>
      </c>
      <c r="C17" s="19">
        <v>0</v>
      </c>
      <c r="D17" s="20">
        <v>127428540</v>
      </c>
      <c r="E17" s="20">
        <f>119766707+1036338189-372735</f>
        <v>1155732161</v>
      </c>
      <c r="F17" s="56"/>
      <c r="G17" s="59"/>
    </row>
    <row r="18" spans="1:9">
      <c r="B18" s="19">
        <f>SUM(B16:B17)</f>
        <v>1778885525</v>
      </c>
      <c r="C18" s="19">
        <f>SUM(C16:C17)</f>
        <v>2895465593</v>
      </c>
      <c r="D18" s="19">
        <f>SUM(D16:D17)</f>
        <v>4057513265</v>
      </c>
      <c r="E18" s="19">
        <f>SUM(E16:E17)</f>
        <v>6453472586</v>
      </c>
    </row>
    <row r="19" spans="1:9">
      <c r="A19" s="16" t="s">
        <v>13</v>
      </c>
      <c r="B19" s="19"/>
      <c r="C19" s="19"/>
      <c r="D19" s="19"/>
      <c r="E19" s="19"/>
    </row>
    <row r="20" spans="1:9" ht="15">
      <c r="A20" s="14" t="s">
        <v>11</v>
      </c>
      <c r="B20" s="19">
        <v>32443302074</v>
      </c>
      <c r="C20" s="23">
        <v>63754359773</v>
      </c>
      <c r="D20" s="23">
        <v>94181746173</v>
      </c>
      <c r="E20" s="26">
        <v>132585936080</v>
      </c>
      <c r="F20" s="56"/>
      <c r="G20" s="59"/>
      <c r="H20" s="56"/>
      <c r="I20" s="59"/>
    </row>
    <row r="21" spans="1:9">
      <c r="B21" s="19"/>
      <c r="C21" s="19"/>
      <c r="D21" s="19"/>
      <c r="E21" s="19"/>
    </row>
    <row r="22" spans="1:9">
      <c r="A22" s="18" t="s">
        <v>14</v>
      </c>
      <c r="B22" s="19">
        <f>+B18+B20</f>
        <v>34222187599</v>
      </c>
      <c r="C22" s="19">
        <f>+C18+C20</f>
        <v>66649825366</v>
      </c>
      <c r="D22" s="19">
        <f>+D18+D20</f>
        <v>98239259438</v>
      </c>
      <c r="E22" s="19">
        <f>+E18+E20</f>
        <v>139039408666</v>
      </c>
    </row>
    <row r="23" spans="1:9">
      <c r="B23" s="19"/>
      <c r="C23" s="19"/>
      <c r="D23" s="19"/>
      <c r="E23" s="19"/>
    </row>
    <row r="24" spans="1:9">
      <c r="A24" s="17" t="s">
        <v>15</v>
      </c>
      <c r="B24" s="19"/>
      <c r="C24" s="19"/>
      <c r="D24" s="19"/>
      <c r="E24" s="19"/>
    </row>
    <row r="25" spans="1:9">
      <c r="A25" s="16" t="s">
        <v>10</v>
      </c>
      <c r="B25" s="19"/>
      <c r="C25" s="19"/>
      <c r="D25" s="19"/>
      <c r="E25" s="19"/>
    </row>
    <row r="26" spans="1:9">
      <c r="A26" s="14" t="s">
        <v>11</v>
      </c>
      <c r="B26" s="19">
        <v>3985593261</v>
      </c>
      <c r="C26" s="20">
        <v>4487893261</v>
      </c>
      <c r="D26" s="21">
        <v>4769893261</v>
      </c>
      <c r="E26" s="21">
        <v>5297844758</v>
      </c>
      <c r="F26" s="22"/>
      <c r="G26" s="22"/>
    </row>
    <row r="27" spans="1:9">
      <c r="A27" s="14" t="s">
        <v>12</v>
      </c>
      <c r="B27" s="20">
        <v>855371797</v>
      </c>
      <c r="C27" s="20">
        <f>119766708+855371797</f>
        <v>975138505</v>
      </c>
      <c r="D27" s="21">
        <f>119766708+891710923</f>
        <v>1011477631</v>
      </c>
      <c r="E27" s="21">
        <f>119766707+1036338189</f>
        <v>1156104896</v>
      </c>
      <c r="F27" s="22"/>
      <c r="G27" s="22"/>
      <c r="H27" s="22"/>
    </row>
    <row r="28" spans="1:9">
      <c r="B28" s="19">
        <f>SUM(B26:B27)</f>
        <v>4840965058</v>
      </c>
      <c r="C28" s="19">
        <f>SUM(C26:C27)</f>
        <v>5463031766</v>
      </c>
      <c r="D28" s="19">
        <f>SUM(D26:D27)</f>
        <v>5781370892</v>
      </c>
      <c r="E28" s="19">
        <f>SUM(E26:E27)</f>
        <v>6453949654</v>
      </c>
      <c r="G28" s="22"/>
      <c r="H28" s="22"/>
    </row>
    <row r="29" spans="1:9">
      <c r="A29" s="16" t="s">
        <v>13</v>
      </c>
      <c r="B29" s="19"/>
      <c r="C29" s="19"/>
      <c r="D29" s="19"/>
      <c r="E29" s="19"/>
    </row>
    <row r="30" spans="1:9">
      <c r="A30" s="14" t="s">
        <v>11</v>
      </c>
      <c r="B30" s="19">
        <v>95081085575</v>
      </c>
      <c r="C30" s="20">
        <v>96292861083</v>
      </c>
      <c r="D30" s="21">
        <v>107311975209</v>
      </c>
      <c r="E30" s="21">
        <v>132662736238</v>
      </c>
      <c r="F30" s="22"/>
      <c r="G30" s="22"/>
    </row>
    <row r="31" spans="1:9">
      <c r="B31" s="19"/>
      <c r="C31" s="19"/>
      <c r="D31" s="19"/>
      <c r="E31" s="19"/>
    </row>
    <row r="32" spans="1:9">
      <c r="A32" s="18" t="s">
        <v>16</v>
      </c>
      <c r="B32" s="19">
        <f>+B28+B30</f>
        <v>99922050633</v>
      </c>
      <c r="C32" s="19">
        <f>+C28+C30</f>
        <v>101755892849</v>
      </c>
      <c r="D32" s="19">
        <f>+D28+D30</f>
        <v>113093346101</v>
      </c>
      <c r="E32" s="19">
        <f>+E28+E30</f>
        <v>139116685892</v>
      </c>
    </row>
  </sheetData>
  <mergeCells count="10">
    <mergeCell ref="J15:K15"/>
    <mergeCell ref="J16:K16"/>
    <mergeCell ref="H20:I20"/>
    <mergeCell ref="A1:E1"/>
    <mergeCell ref="A2:E2"/>
    <mergeCell ref="B3:E3"/>
    <mergeCell ref="F17:G17"/>
    <mergeCell ref="F20:G20"/>
    <mergeCell ref="G16:H16"/>
    <mergeCell ref="G15:H15"/>
  </mergeCells>
  <pageMargins left="1.4960629921259843" right="0.70866141732283472" top="0.74803149606299213" bottom="0.74803149606299213" header="0.31496062992125984" footer="0.31496062992125984"/>
  <pageSetup paperSize="5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"/>
  <sheetViews>
    <sheetView zoomScale="110" zoomScaleNormal="110" workbookViewId="0">
      <pane xSplit="1" ySplit="13" topLeftCell="B14" activePane="bottomRight" state="frozen"/>
      <selection pane="bottomRight" sqref="A1:E1"/>
      <selection pane="bottomLeft" activeCell="A16" sqref="A16"/>
      <selection pane="topRight" activeCell="B1" sqref="B1"/>
    </sheetView>
  </sheetViews>
  <sheetFormatPr defaultColWidth="9.140625" defaultRowHeight="12.75"/>
  <cols>
    <col min="1" max="1" width="31.42578125" bestFit="1" customWidth="1"/>
    <col min="2" max="2" width="21.7109375" customWidth="1"/>
    <col min="3" max="3" width="21" customWidth="1"/>
    <col min="4" max="4" width="21.28515625" customWidth="1"/>
    <col min="5" max="5" width="20.85546875" customWidth="1"/>
    <col min="6" max="256" width="11.42578125" customWidth="1"/>
  </cols>
  <sheetData>
    <row r="1" spans="1:5">
      <c r="A1" s="50"/>
      <c r="B1" s="51"/>
      <c r="C1" s="51"/>
      <c r="D1" s="51"/>
      <c r="E1" s="52"/>
    </row>
    <row r="2" spans="1:5" ht="16.5" thickBot="1">
      <c r="A2" s="32"/>
      <c r="B2" s="57" t="s">
        <v>18</v>
      </c>
      <c r="C2" s="57"/>
      <c r="D2" s="57"/>
      <c r="E2" s="58"/>
    </row>
    <row r="3" spans="1:5" ht="16.5" thickBot="1">
      <c r="A3" s="12"/>
      <c r="B3" s="53" t="s">
        <v>1</v>
      </c>
      <c r="C3" s="54"/>
      <c r="D3" s="54"/>
      <c r="E3" s="55"/>
    </row>
    <row r="4" spans="1:5" ht="13.5" thickBot="1">
      <c r="A4" s="13" t="s">
        <v>2</v>
      </c>
      <c r="B4" s="9" t="s">
        <v>3</v>
      </c>
      <c r="C4" s="10" t="s">
        <v>4</v>
      </c>
      <c r="D4" s="10" t="s">
        <v>5</v>
      </c>
      <c r="E4" s="11" t="s">
        <v>6</v>
      </c>
    </row>
    <row r="5" spans="1:5">
      <c r="A5" s="8"/>
      <c r="B5" s="8"/>
      <c r="C5" s="29"/>
      <c r="D5" s="8"/>
      <c r="E5" s="31"/>
    </row>
    <row r="6" spans="1:5">
      <c r="A6" s="5" t="s">
        <v>7</v>
      </c>
      <c r="B6" s="6">
        <f>+B22</f>
        <v>34938770317</v>
      </c>
      <c r="C6" s="6">
        <f>+C22</f>
        <v>67883120360.169998</v>
      </c>
      <c r="D6" s="6">
        <f>+D22</f>
        <v>100601347739.17</v>
      </c>
      <c r="E6" s="6">
        <f>+E22</f>
        <v>152658427967.19</v>
      </c>
    </row>
    <row r="7" spans="1:5">
      <c r="A7" s="5" t="s">
        <v>8</v>
      </c>
      <c r="B7" s="6">
        <f>+B32</f>
        <v>81755722127</v>
      </c>
      <c r="C7" s="6">
        <f>+C32</f>
        <v>86160771329</v>
      </c>
      <c r="D7" s="6">
        <f>+D32</f>
        <v>122871937848</v>
      </c>
      <c r="E7" s="6">
        <f>+E32</f>
        <v>152786504129.19</v>
      </c>
    </row>
    <row r="8" spans="1:5">
      <c r="A8" s="4"/>
      <c r="B8" s="7">
        <f>SUM(B6/B7)*100</f>
        <v>42.735565668083552</v>
      </c>
      <c r="C8" s="7">
        <f>SUM(C6/C7)*100</f>
        <v>78.786574578078188</v>
      </c>
      <c r="D8" s="7">
        <f>SUM(D6/D7)*100</f>
        <v>81.874958189086215</v>
      </c>
      <c r="E8" s="27">
        <f>SUM(E6/E7)*100</f>
        <v>99.916173118345768</v>
      </c>
    </row>
    <row r="10" spans="1:5">
      <c r="D10" s="17"/>
    </row>
    <row r="12" spans="1:5" ht="13.5" thickBot="1"/>
    <row r="13" spans="1:5" ht="13.5" thickBot="1">
      <c r="B13" s="9" t="s">
        <v>3</v>
      </c>
      <c r="C13" s="10" t="s">
        <v>4</v>
      </c>
      <c r="D13" s="10" t="s">
        <v>5</v>
      </c>
      <c r="E13" s="11" t="s">
        <v>6</v>
      </c>
    </row>
    <row r="14" spans="1:5">
      <c r="A14" s="17" t="s">
        <v>9</v>
      </c>
    </row>
    <row r="15" spans="1:5">
      <c r="A15" s="15" t="s">
        <v>10</v>
      </c>
    </row>
    <row r="16" spans="1:5">
      <c r="A16" t="s">
        <v>11</v>
      </c>
      <c r="B16" s="19">
        <v>1854651105</v>
      </c>
      <c r="C16" s="21">
        <v>2998441349</v>
      </c>
      <c r="D16" s="24">
        <f>4142242737+9793492</f>
        <v>4152036229</v>
      </c>
      <c r="E16" s="25">
        <v>6097092153</v>
      </c>
    </row>
    <row r="17" spans="1:6">
      <c r="A17" t="s">
        <v>12</v>
      </c>
      <c r="B17" s="19">
        <v>0</v>
      </c>
      <c r="C17" s="19">
        <v>0</v>
      </c>
      <c r="D17" s="20">
        <v>126838709</v>
      </c>
      <c r="E17" s="20">
        <v>2801409157</v>
      </c>
    </row>
    <row r="18" spans="1:6">
      <c r="B18" s="19"/>
      <c r="C18" s="19"/>
      <c r="D18" s="19"/>
      <c r="E18" s="19"/>
    </row>
    <row r="19" spans="1:6">
      <c r="A19" s="16" t="s">
        <v>13</v>
      </c>
      <c r="B19" s="19"/>
      <c r="C19" s="19"/>
      <c r="D19" s="19"/>
      <c r="E19" s="19"/>
    </row>
    <row r="20" spans="1:6" ht="15">
      <c r="A20" s="14" t="s">
        <v>11</v>
      </c>
      <c r="B20" s="19">
        <v>33084119212</v>
      </c>
      <c r="C20" s="20">
        <v>64884679011.169998</v>
      </c>
      <c r="D20" s="23">
        <f>96293794794.17+28678007</f>
        <v>96322472801.169998</v>
      </c>
      <c r="E20" s="26">
        <v>143759926657.19</v>
      </c>
      <c r="F20" s="30"/>
    </row>
    <row r="21" spans="1:6">
      <c r="B21" s="19"/>
      <c r="C21" s="19"/>
      <c r="D21" s="19"/>
      <c r="E21" s="19"/>
    </row>
    <row r="22" spans="1:6">
      <c r="A22" s="18" t="s">
        <v>14</v>
      </c>
      <c r="B22" s="19">
        <f>+B16+B17+B20</f>
        <v>34938770317</v>
      </c>
      <c r="C22" s="19">
        <f>+C16+C17+C20</f>
        <v>67883120360.169998</v>
      </c>
      <c r="D22" s="19">
        <f>+D16+D17+D20</f>
        <v>100601347739.17</v>
      </c>
      <c r="E22" s="19">
        <f>+E16+E17+E20</f>
        <v>152658427967.19</v>
      </c>
    </row>
    <row r="23" spans="1:6">
      <c r="B23" s="19"/>
      <c r="C23" s="19"/>
      <c r="D23" s="19"/>
      <c r="E23" s="19"/>
    </row>
    <row r="24" spans="1:6">
      <c r="A24" s="17" t="s">
        <v>15</v>
      </c>
      <c r="B24" s="19"/>
      <c r="C24" s="19"/>
      <c r="D24" s="19"/>
      <c r="E24" s="19"/>
    </row>
    <row r="25" spans="1:6">
      <c r="A25" s="16" t="s">
        <v>10</v>
      </c>
      <c r="B25" s="19"/>
      <c r="C25" s="19"/>
      <c r="D25" s="19"/>
      <c r="E25" s="19"/>
    </row>
    <row r="26" spans="1:6">
      <c r="A26" s="14" t="s">
        <v>11</v>
      </c>
      <c r="B26" s="19">
        <v>3701267816</v>
      </c>
      <c r="C26" s="20">
        <v>3821880917</v>
      </c>
      <c r="D26" s="21">
        <f>5089537721+33251637</f>
        <v>5122789358</v>
      </c>
      <c r="E26" s="21">
        <v>6102566732</v>
      </c>
    </row>
    <row r="27" spans="1:6">
      <c r="A27" s="14" t="s">
        <v>12</v>
      </c>
      <c r="B27" s="20">
        <v>0</v>
      </c>
      <c r="C27" s="20">
        <f>126866035+862401242</f>
        <v>989267277</v>
      </c>
      <c r="D27" s="21">
        <f>226866035+2623452816</f>
        <v>2850318851</v>
      </c>
      <c r="E27" s="21">
        <v>2801503307</v>
      </c>
    </row>
    <row r="28" spans="1:6">
      <c r="B28" s="19"/>
      <c r="C28" s="19"/>
      <c r="D28" s="19"/>
      <c r="E28" s="19"/>
    </row>
    <row r="29" spans="1:6">
      <c r="A29" s="16" t="s">
        <v>13</v>
      </c>
      <c r="B29" s="19"/>
      <c r="C29" s="19"/>
      <c r="D29" s="19"/>
      <c r="E29" s="19"/>
    </row>
    <row r="30" spans="1:6">
      <c r="A30" s="14" t="s">
        <v>11</v>
      </c>
      <c r="B30" s="19">
        <v>78054454311</v>
      </c>
      <c r="C30" s="20">
        <v>81349623135</v>
      </c>
      <c r="D30" s="21">
        <f>113909562362+989267277</f>
        <v>114898829639</v>
      </c>
      <c r="E30" s="21">
        <v>143882434090.19</v>
      </c>
    </row>
    <row r="31" spans="1:6">
      <c r="B31" s="19"/>
      <c r="C31" s="19"/>
      <c r="D31" s="19"/>
      <c r="E31" s="19"/>
    </row>
    <row r="32" spans="1:6">
      <c r="A32" s="18" t="s">
        <v>16</v>
      </c>
      <c r="B32" s="19">
        <f>+B26+B27+B30</f>
        <v>81755722127</v>
      </c>
      <c r="C32" s="19">
        <f>+C26+C27+C30</f>
        <v>86160771329</v>
      </c>
      <c r="D32" s="19">
        <f>+D26+D27+D30</f>
        <v>122871937848</v>
      </c>
      <c r="E32" s="19">
        <f>+E26+E27+E30</f>
        <v>152786504129.19</v>
      </c>
    </row>
  </sheetData>
  <mergeCells count="3">
    <mergeCell ref="B2:E2"/>
    <mergeCell ref="A1:E1"/>
    <mergeCell ref="B3:E3"/>
  </mergeCells>
  <printOptions horizontalCentered="1" verticalCentered="1"/>
  <pageMargins left="1.6929133858267718" right="0.70866141732283472" top="1.7322834645669292" bottom="0.74803149606299213" header="0.31496062992125984" footer="0.31496062992125984"/>
  <pageSetup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zoomScale="110" zoomScaleNormal="110" workbookViewId="0">
      <pane xSplit="1" ySplit="13" topLeftCell="B14" activePane="bottomRight" state="frozen"/>
      <selection pane="bottomRight" sqref="A1:E1"/>
      <selection pane="bottomLeft" activeCell="A16" sqref="A16"/>
      <selection pane="topRight" activeCell="B1" sqref="B1"/>
    </sheetView>
  </sheetViews>
  <sheetFormatPr defaultColWidth="9.140625" defaultRowHeight="12.75"/>
  <cols>
    <col min="1" max="1" width="31.42578125" bestFit="1" customWidth="1"/>
    <col min="2" max="2" width="21.7109375" customWidth="1"/>
    <col min="3" max="3" width="21" customWidth="1"/>
    <col min="4" max="4" width="21.28515625" customWidth="1"/>
    <col min="5" max="5" width="20.85546875" customWidth="1"/>
    <col min="6" max="6" width="11.42578125" customWidth="1"/>
    <col min="7" max="11" width="11.5703125" customWidth="1"/>
    <col min="12" max="256" width="11.42578125" customWidth="1"/>
  </cols>
  <sheetData>
    <row r="1" spans="1:11">
      <c r="A1" s="50"/>
      <c r="B1" s="51"/>
      <c r="C1" s="51"/>
      <c r="D1" s="51"/>
      <c r="E1" s="52"/>
    </row>
    <row r="2" spans="1:11" ht="16.5" thickBot="1">
      <c r="A2" s="32"/>
      <c r="B2" s="57" t="s">
        <v>19</v>
      </c>
      <c r="C2" s="57"/>
      <c r="D2" s="57"/>
      <c r="E2" s="58"/>
    </row>
    <row r="3" spans="1:11" ht="16.5" thickBot="1">
      <c r="A3" s="12"/>
      <c r="B3" s="53" t="s">
        <v>1</v>
      </c>
      <c r="C3" s="54"/>
      <c r="D3" s="54"/>
      <c r="E3" s="55"/>
    </row>
    <row r="4" spans="1:11" ht="13.5" thickBot="1">
      <c r="A4" s="13" t="s">
        <v>2</v>
      </c>
      <c r="B4" s="9" t="s">
        <v>3</v>
      </c>
      <c r="C4" s="10" t="s">
        <v>4</v>
      </c>
      <c r="D4" s="10" t="s">
        <v>5</v>
      </c>
      <c r="E4" s="11" t="s">
        <v>6</v>
      </c>
    </row>
    <row r="5" spans="1:11">
      <c r="A5" s="8"/>
      <c r="B5" s="8"/>
      <c r="C5" s="29"/>
      <c r="D5" s="8"/>
      <c r="E5" s="31"/>
    </row>
    <row r="6" spans="1:11">
      <c r="A6" s="5" t="s">
        <v>7</v>
      </c>
      <c r="B6" s="6">
        <f>+B22</f>
        <v>31051250817.799999</v>
      </c>
      <c r="C6" s="6">
        <f>+C22</f>
        <v>64651222211.93</v>
      </c>
      <c r="D6" s="6">
        <f>+D22</f>
        <v>98356268772.929993</v>
      </c>
      <c r="E6" s="6">
        <f>+E22</f>
        <v>153921985774.32001</v>
      </c>
    </row>
    <row r="7" spans="1:11">
      <c r="A7" s="5" t="s">
        <v>8</v>
      </c>
      <c r="B7" s="6">
        <f>+B32</f>
        <v>103430266153</v>
      </c>
      <c r="C7" s="6">
        <f>+C32</f>
        <v>106060161167</v>
      </c>
      <c r="D7" s="6">
        <f>+D32</f>
        <v>123810141584</v>
      </c>
      <c r="E7" s="6">
        <f>+E32</f>
        <v>154596186274.94</v>
      </c>
    </row>
    <row r="8" spans="1:11">
      <c r="A8" s="4"/>
      <c r="B8" s="7">
        <f>SUM(B6/B7)*100</f>
        <v>30.021435671321971</v>
      </c>
      <c r="C8" s="7">
        <f>SUM(C6/C7)*100</f>
        <v>60.957122354482948</v>
      </c>
      <c r="D8" s="7">
        <f>SUM(D6/D7)*100</f>
        <v>79.441205312086154</v>
      </c>
      <c r="E8" s="27">
        <f>SUM(E6/E7)*100</f>
        <v>99.563895774620875</v>
      </c>
    </row>
    <row r="10" spans="1:11">
      <c r="D10" s="17"/>
    </row>
    <row r="12" spans="1:11" ht="13.5" thickBot="1"/>
    <row r="13" spans="1:11" ht="13.5" thickBot="1">
      <c r="B13" s="9" t="s">
        <v>3</v>
      </c>
      <c r="C13" s="10" t="s">
        <v>4</v>
      </c>
      <c r="D13" s="10" t="s">
        <v>5</v>
      </c>
      <c r="E13" s="11" t="s">
        <v>6</v>
      </c>
    </row>
    <row r="14" spans="1:11" ht="15">
      <c r="A14" s="17" t="s">
        <v>9</v>
      </c>
      <c r="G14" s="56"/>
      <c r="H14" s="59"/>
    </row>
    <row r="15" spans="1:11" ht="15">
      <c r="A15" s="15" t="s">
        <v>10</v>
      </c>
      <c r="G15" s="56"/>
      <c r="H15" s="59"/>
    </row>
    <row r="16" spans="1:11" ht="15">
      <c r="A16" t="s">
        <v>11</v>
      </c>
      <c r="B16" s="19">
        <v>1690497011</v>
      </c>
      <c r="C16" s="21">
        <v>2938614233.1300001</v>
      </c>
      <c r="D16" s="24">
        <f>4198934940.13+8477294</f>
        <v>4207412234.1300001</v>
      </c>
      <c r="E16" s="25">
        <f>6178086516.81+142897018</f>
        <v>6320983534.8100004</v>
      </c>
      <c r="G16" s="56"/>
      <c r="H16" s="59"/>
      <c r="J16" s="56"/>
      <c r="K16" s="59"/>
    </row>
    <row r="17" spans="1:11" ht="15">
      <c r="A17" t="s">
        <v>12</v>
      </c>
      <c r="B17" s="19">
        <v>257376749.80000001</v>
      </c>
      <c r="C17" s="19">
        <v>257376749.80000001</v>
      </c>
      <c r="D17" s="20">
        <f>201000100+761571657.8</f>
        <v>962571757.79999995</v>
      </c>
      <c r="E17" s="20">
        <f>832402778+1166606605.51</f>
        <v>1999009383.51</v>
      </c>
      <c r="H17" s="56"/>
      <c r="I17" s="59"/>
      <c r="J17" s="56"/>
      <c r="K17" s="59"/>
    </row>
    <row r="18" spans="1:11" ht="15">
      <c r="B18" s="19"/>
      <c r="C18" s="19"/>
      <c r="D18" s="19"/>
      <c r="E18" s="19"/>
      <c r="H18" s="56"/>
      <c r="I18" s="59"/>
      <c r="J18" s="56"/>
      <c r="K18" s="59"/>
    </row>
    <row r="19" spans="1:11" ht="15">
      <c r="A19" s="16" t="s">
        <v>13</v>
      </c>
      <c r="B19" s="19"/>
      <c r="C19" s="19"/>
      <c r="D19" s="19"/>
      <c r="E19" s="19"/>
      <c r="G19" s="56"/>
      <c r="H19" s="59"/>
      <c r="J19" s="56"/>
      <c r="K19" s="59"/>
    </row>
    <row r="20" spans="1:11" ht="15">
      <c r="A20" s="14" t="s">
        <v>11</v>
      </c>
      <c r="B20" s="19">
        <v>29103377057</v>
      </c>
      <c r="C20" s="20">
        <f>61453431229+1800000</f>
        <v>61455231229</v>
      </c>
      <c r="D20" s="23">
        <f>92970838789+215445992</f>
        <v>93186284781</v>
      </c>
      <c r="E20" s="26">
        <f>144857118853+744874003</f>
        <v>145601992856</v>
      </c>
      <c r="F20" s="30"/>
      <c r="G20" s="56"/>
      <c r="H20" s="59"/>
    </row>
    <row r="21" spans="1:11" ht="15">
      <c r="B21" s="19"/>
      <c r="C21" s="19"/>
      <c r="D21" s="19"/>
      <c r="E21" s="19"/>
      <c r="G21" s="56"/>
      <c r="H21" s="59"/>
      <c r="I21" s="56"/>
      <c r="J21" s="59"/>
    </row>
    <row r="22" spans="1:11" ht="15">
      <c r="A22" s="18" t="s">
        <v>14</v>
      </c>
      <c r="B22" s="19">
        <f>+B16+B17+B20</f>
        <v>31051250817.799999</v>
      </c>
      <c r="C22" s="19">
        <f>+C16+C17+C20</f>
        <v>64651222211.93</v>
      </c>
      <c r="D22" s="19">
        <f>+D16+D17+D20</f>
        <v>98356268772.929993</v>
      </c>
      <c r="E22" s="19">
        <f>+E16+E17+E20</f>
        <v>153921985774.32001</v>
      </c>
      <c r="I22" s="56"/>
      <c r="J22" s="59"/>
    </row>
    <row r="23" spans="1:11">
      <c r="B23" s="19"/>
      <c r="C23" s="19"/>
      <c r="D23" s="19"/>
      <c r="E23" s="19"/>
    </row>
    <row r="24" spans="1:11">
      <c r="A24" s="17" t="s">
        <v>15</v>
      </c>
      <c r="B24" s="19"/>
      <c r="C24" s="19"/>
      <c r="D24" s="19"/>
      <c r="E24" s="19"/>
    </row>
    <row r="25" spans="1:11">
      <c r="A25" s="16" t="s">
        <v>10</v>
      </c>
      <c r="B25" s="19"/>
      <c r="C25" s="19"/>
      <c r="D25" s="19"/>
      <c r="E25" s="19"/>
    </row>
    <row r="26" spans="1:11">
      <c r="A26" s="14" t="s">
        <v>11</v>
      </c>
      <c r="B26" s="19">
        <v>4449968202</v>
      </c>
      <c r="C26" s="20">
        <v>4485840883</v>
      </c>
      <c r="D26" s="21">
        <f>5304484849+79330768</f>
        <v>5383815617</v>
      </c>
      <c r="E26" s="21">
        <f>6270362809.56+154571999</f>
        <v>6424934808.5600004</v>
      </c>
      <c r="G26" s="22"/>
      <c r="H26" s="22"/>
    </row>
    <row r="27" spans="1:11">
      <c r="A27" s="14" t="s">
        <v>12</v>
      </c>
      <c r="B27" s="20">
        <f>243876183+257376750</f>
        <v>501252933</v>
      </c>
      <c r="C27" s="20">
        <f>243876183+2357376750</f>
        <v>2601252933</v>
      </c>
      <c r="D27" s="21">
        <f>201003183+4114210700</f>
        <v>4315213883</v>
      </c>
      <c r="E27" s="21">
        <f>832402778+1166606605.51</f>
        <v>1999009383.51</v>
      </c>
      <c r="F27" s="22"/>
      <c r="G27" s="22"/>
      <c r="H27" s="22"/>
    </row>
    <row r="28" spans="1:11">
      <c r="B28" s="19"/>
      <c r="C28" s="19"/>
      <c r="D28" s="19"/>
      <c r="E28" s="19"/>
      <c r="F28" s="22"/>
      <c r="G28" s="22"/>
      <c r="I28" s="22"/>
    </row>
    <row r="29" spans="1:11">
      <c r="A29" s="16" t="s">
        <v>13</v>
      </c>
      <c r="B29" s="19"/>
      <c r="C29" s="19"/>
      <c r="D29" s="19"/>
      <c r="E29" s="19"/>
      <c r="I29" s="22"/>
    </row>
    <row r="30" spans="1:11">
      <c r="A30" s="14" t="s">
        <v>11</v>
      </c>
      <c r="B30" s="19">
        <v>98479045018</v>
      </c>
      <c r="C30" s="20">
        <f>98806189014+166878337</f>
        <v>98973067351</v>
      </c>
      <c r="D30" s="21">
        <f>113380589478+730522606</f>
        <v>114111112084</v>
      </c>
      <c r="E30" s="21">
        <f>145379545810.87+792696272</f>
        <v>146172242082.87</v>
      </c>
      <c r="F30" s="22"/>
      <c r="G30" s="22"/>
    </row>
    <row r="31" spans="1:11">
      <c r="B31" s="19"/>
      <c r="C31" s="19"/>
      <c r="D31" s="19"/>
      <c r="E31" s="19"/>
      <c r="F31" s="22"/>
      <c r="G31" s="22"/>
    </row>
    <row r="32" spans="1:11">
      <c r="A32" s="18" t="s">
        <v>16</v>
      </c>
      <c r="B32" s="19">
        <f>+B26+B27+B30</f>
        <v>103430266153</v>
      </c>
      <c r="C32" s="19">
        <f>+C26+C27+C30</f>
        <v>106060161167</v>
      </c>
      <c r="D32" s="19">
        <f>+D26+D27+D30</f>
        <v>123810141584</v>
      </c>
      <c r="E32" s="19">
        <f>+E26+E27+E30</f>
        <v>154596186274.94</v>
      </c>
    </row>
  </sheetData>
  <mergeCells count="17">
    <mergeCell ref="G20:H20"/>
    <mergeCell ref="G14:H14"/>
    <mergeCell ref="I22:J22"/>
    <mergeCell ref="G15:H15"/>
    <mergeCell ref="J16:K16"/>
    <mergeCell ref="J17:K17"/>
    <mergeCell ref="J18:K18"/>
    <mergeCell ref="J19:K19"/>
    <mergeCell ref="I21:J21"/>
    <mergeCell ref="H18:I18"/>
    <mergeCell ref="G19:H19"/>
    <mergeCell ref="G21:H21"/>
    <mergeCell ref="A1:E1"/>
    <mergeCell ref="B2:E2"/>
    <mergeCell ref="B3:E3"/>
    <mergeCell ref="G16:H16"/>
    <mergeCell ref="H17:I17"/>
  </mergeCells>
  <printOptions horizontalCentered="1" verticalCentered="1"/>
  <pageMargins left="1.6929133858267718" right="0.70866141732283472" top="1.7322834645669292" bottom="0.74803149606299213" header="0.31496062992125984" footer="0.31496062992125984"/>
  <pageSetup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8"/>
  <sheetViews>
    <sheetView zoomScale="110" zoomScaleNormal="110" workbookViewId="0">
      <pane xSplit="1" ySplit="9" topLeftCell="B10" activePane="bottomRight" state="frozen"/>
      <selection pane="bottomRight"/>
      <selection pane="bottomLeft" activeCell="A16" sqref="A16"/>
      <selection pane="topRight" activeCell="B1" sqref="B1"/>
    </sheetView>
  </sheetViews>
  <sheetFormatPr defaultColWidth="9.140625" defaultRowHeight="12.75"/>
  <cols>
    <col min="1" max="1" width="31.42578125" bestFit="1" customWidth="1"/>
    <col min="2" max="2" width="21.7109375" customWidth="1"/>
    <col min="3" max="3" width="21" customWidth="1"/>
    <col min="4" max="4" width="21.28515625" customWidth="1"/>
    <col min="5" max="5" width="20.85546875" customWidth="1"/>
    <col min="6" max="256" width="11.42578125" customWidth="1"/>
  </cols>
  <sheetData>
    <row r="1" spans="1:5" ht="16.5" thickBot="1">
      <c r="A1" s="32"/>
      <c r="B1" s="57" t="s">
        <v>20</v>
      </c>
      <c r="C1" s="57"/>
      <c r="D1" s="57"/>
      <c r="E1" s="58"/>
    </row>
    <row r="2" spans="1:5" ht="16.5" thickBot="1">
      <c r="A2" s="12"/>
      <c r="B2" s="53" t="s">
        <v>1</v>
      </c>
      <c r="C2" s="54"/>
      <c r="D2" s="54"/>
      <c r="E2" s="55"/>
    </row>
    <row r="3" spans="1:5" ht="13.5" thickBot="1">
      <c r="A3" s="13" t="s">
        <v>2</v>
      </c>
      <c r="B3" s="9" t="s">
        <v>3</v>
      </c>
      <c r="C3" s="10" t="s">
        <v>4</v>
      </c>
      <c r="D3" s="10" t="s">
        <v>5</v>
      </c>
      <c r="E3" s="11" t="s">
        <v>6</v>
      </c>
    </row>
    <row r="4" spans="1:5">
      <c r="A4" s="8"/>
      <c r="B4" s="8"/>
      <c r="C4" s="29"/>
      <c r="D4" s="8"/>
      <c r="E4" s="31"/>
    </row>
    <row r="5" spans="1:5">
      <c r="A5" s="5" t="s">
        <v>7</v>
      </c>
      <c r="B5" s="6">
        <f>+B18</f>
        <v>34238375135</v>
      </c>
      <c r="C5" s="6">
        <f>+C18</f>
        <v>71992822817</v>
      </c>
      <c r="D5" s="6">
        <f>+D18</f>
        <v>110814970634</v>
      </c>
      <c r="E5" s="6">
        <f>+E18</f>
        <v>168518058497.15002</v>
      </c>
    </row>
    <row r="6" spans="1:5">
      <c r="A6" s="5" t="s">
        <v>8</v>
      </c>
      <c r="B6" s="6">
        <f>+B28</f>
        <v>105777605581</v>
      </c>
      <c r="C6" s="6">
        <f>+C28</f>
        <v>120129080724</v>
      </c>
      <c r="D6" s="6">
        <f>+D28</f>
        <v>151783654149</v>
      </c>
      <c r="E6" s="6">
        <f>+E28</f>
        <v>169320466211</v>
      </c>
    </row>
    <row r="7" spans="1:5">
      <c r="A7" s="4"/>
      <c r="B7" s="7">
        <f>SUM(B5/B6)*100</f>
        <v>32.368264479934467</v>
      </c>
      <c r="C7" s="7">
        <f>SUM(C5/C6)*100</f>
        <v>59.929554428544719</v>
      </c>
      <c r="D7" s="7">
        <f>SUM(D5/D6)*100</f>
        <v>73.00850098470903</v>
      </c>
      <c r="E7" s="35">
        <f>SUM(E5/E6)</f>
        <v>0.99526101166736658</v>
      </c>
    </row>
    <row r="8" spans="1:5" ht="13.5" thickBot="1">
      <c r="E8" s="34"/>
    </row>
    <row r="9" spans="1:5" ht="13.5" thickBot="1">
      <c r="B9" s="9" t="s">
        <v>3</v>
      </c>
      <c r="C9" s="10" t="s">
        <v>4</v>
      </c>
      <c r="D9" s="10" t="s">
        <v>5</v>
      </c>
      <c r="E9" s="33" t="s">
        <v>6</v>
      </c>
    </row>
    <row r="10" spans="1:5">
      <c r="A10" s="17" t="s">
        <v>9</v>
      </c>
    </row>
    <row r="11" spans="1:5">
      <c r="A11" s="15" t="s">
        <v>10</v>
      </c>
    </row>
    <row r="12" spans="1:5">
      <c r="A12" t="s">
        <v>11</v>
      </c>
      <c r="B12" s="19">
        <f>1107132254</f>
        <v>1107132254</v>
      </c>
      <c r="C12" s="21">
        <v>2724056316</v>
      </c>
      <c r="D12" s="24">
        <v>4020464313</v>
      </c>
      <c r="E12" s="25">
        <v>5830888544.9499998</v>
      </c>
    </row>
    <row r="13" spans="1:5">
      <c r="A13" t="s">
        <v>12</v>
      </c>
      <c r="B13" s="19">
        <f>695970198+2323352272</f>
        <v>3019322470</v>
      </c>
      <c r="C13" s="19">
        <f>754802248+2323352272</f>
        <v>3078154520</v>
      </c>
      <c r="D13" s="20">
        <f>2001095382+3180839943</f>
        <v>5181935325</v>
      </c>
      <c r="E13" s="20">
        <f>2034551585.99+3180839943</f>
        <v>5215391528.9899998</v>
      </c>
    </row>
    <row r="14" spans="1:5">
      <c r="B14" s="19"/>
      <c r="C14" s="19"/>
      <c r="D14" s="19"/>
      <c r="E14" s="19"/>
    </row>
    <row r="15" spans="1:5">
      <c r="A15" s="16" t="s">
        <v>13</v>
      </c>
      <c r="B15" s="19"/>
      <c r="C15" s="19"/>
      <c r="D15" s="19"/>
      <c r="E15" s="19"/>
    </row>
    <row r="16" spans="1:5">
      <c r="A16" s="14" t="s">
        <v>11</v>
      </c>
      <c r="B16" s="19">
        <f>29913050965+198869446</f>
        <v>30111920411</v>
      </c>
      <c r="C16" s="20">
        <f>63903955234+2286656747</f>
        <v>66190611981</v>
      </c>
      <c r="D16" s="23">
        <f>98884833272+2727737724</f>
        <v>101612570996</v>
      </c>
      <c r="E16" s="26">
        <f>153922397089.04+3549381334.17</f>
        <v>157471778423.21002</v>
      </c>
    </row>
    <row r="17" spans="1:5">
      <c r="B17" s="19"/>
      <c r="C17" s="19"/>
      <c r="D17" s="19"/>
      <c r="E17" s="19"/>
    </row>
    <row r="18" spans="1:5">
      <c r="A18" s="18" t="s">
        <v>14</v>
      </c>
      <c r="B18" s="19">
        <f>+B12+B13+B16</f>
        <v>34238375135</v>
      </c>
      <c r="C18" s="19">
        <f>+C12+C13+C16</f>
        <v>71992822817</v>
      </c>
      <c r="D18" s="19">
        <f>+D12+D13+D16</f>
        <v>110814970634</v>
      </c>
      <c r="E18" s="19">
        <f>+E12+E13+E16</f>
        <v>168518058497.15002</v>
      </c>
    </row>
    <row r="19" spans="1:5">
      <c r="B19" s="19"/>
      <c r="C19" s="19"/>
      <c r="D19" s="19"/>
      <c r="E19" s="19"/>
    </row>
    <row r="20" spans="1:5">
      <c r="A20" s="17" t="s">
        <v>15</v>
      </c>
      <c r="B20" s="19"/>
      <c r="C20" s="19"/>
      <c r="D20" s="19"/>
      <c r="E20" s="19"/>
    </row>
    <row r="21" spans="1:5">
      <c r="A21" s="16" t="s">
        <v>10</v>
      </c>
      <c r="B21" s="19"/>
      <c r="C21" s="19"/>
      <c r="D21" s="19"/>
      <c r="E21" s="19"/>
    </row>
    <row r="22" spans="1:5">
      <c r="A22" s="14" t="s">
        <v>11</v>
      </c>
      <c r="B22" s="19">
        <f>4475428121</f>
        <v>4475428121</v>
      </c>
      <c r="C22" s="20">
        <v>4511502556</v>
      </c>
      <c r="D22" s="21">
        <v>5669486775</v>
      </c>
      <c r="E22" s="21">
        <v>5933342099</v>
      </c>
    </row>
    <row r="23" spans="1:5">
      <c r="A23" s="14" t="s">
        <v>12</v>
      </c>
      <c r="B23" s="20">
        <f>2054264933+2323352272</f>
        <v>4377617205</v>
      </c>
      <c r="C23" s="20">
        <f>2054264933+2323352272</f>
        <v>4377617205</v>
      </c>
      <c r="D23" s="21">
        <f>2172987287+3180839943</f>
        <v>5353827230</v>
      </c>
      <c r="E23" s="21">
        <f>2034551586+3180839943</f>
        <v>5215391529</v>
      </c>
    </row>
    <row r="24" spans="1:5">
      <c r="B24" s="19"/>
      <c r="C24" s="19"/>
      <c r="D24" s="19"/>
      <c r="E24" s="19"/>
    </row>
    <row r="25" spans="1:5">
      <c r="A25" s="16" t="s">
        <v>13</v>
      </c>
      <c r="B25" s="19"/>
      <c r="C25" s="19"/>
      <c r="D25" s="19"/>
      <c r="E25" s="19"/>
    </row>
    <row r="26" spans="1:5">
      <c r="A26" s="14" t="s">
        <v>11</v>
      </c>
      <c r="B26" s="19">
        <f>93172836200+3751724055</f>
        <v>96924560255</v>
      </c>
      <c r="C26" s="20">
        <f>107523738316+3716222647</f>
        <v>111239960963</v>
      </c>
      <c r="D26" s="21">
        <f>137038295503+3722044641</f>
        <v>140760340144</v>
      </c>
      <c r="E26" s="21">
        <f>154596702005+3575030578</f>
        <v>158171732583</v>
      </c>
    </row>
    <row r="27" spans="1:5">
      <c r="B27" s="19"/>
      <c r="C27" s="19"/>
      <c r="D27" s="19"/>
      <c r="E27" s="19"/>
    </row>
    <row r="28" spans="1:5">
      <c r="A28" s="18" t="s">
        <v>16</v>
      </c>
      <c r="B28" s="19">
        <f>+B22+B23+B26</f>
        <v>105777605581</v>
      </c>
      <c r="C28" s="19">
        <f>+C22+C23+C26</f>
        <v>120129080724</v>
      </c>
      <c r="D28" s="19">
        <f>+D22+D23+D26</f>
        <v>151783654149</v>
      </c>
      <c r="E28" s="19">
        <f>+E22+E23+E26</f>
        <v>169320466211</v>
      </c>
    </row>
  </sheetData>
  <mergeCells count="2">
    <mergeCell ref="B1:E1"/>
    <mergeCell ref="B2:E2"/>
  </mergeCells>
  <printOptions horizontalCentered="1" verticalCentered="1"/>
  <pageMargins left="1.6929133858267718" right="0.70866141732283472" top="1.7322834645669292" bottom="0.74803149606299213" header="0.31496062992125984" footer="0.31496062992125984"/>
  <pageSetup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A538F-8185-4152-A254-7A546FD4BFD9}">
  <dimension ref="A1:E34"/>
  <sheetViews>
    <sheetView zoomScale="110" zoomScaleNormal="110" workbookViewId="0">
      <pane xSplit="1" ySplit="9" topLeftCell="B10" activePane="bottomRight" state="frozen"/>
      <selection pane="bottomRight" activeCell="G9" sqref="G9"/>
      <selection pane="bottomLeft" activeCell="A16" sqref="A16"/>
      <selection pane="topRight" activeCell="B1" sqref="B1"/>
    </sheetView>
  </sheetViews>
  <sheetFormatPr defaultColWidth="9.140625" defaultRowHeight="12.75"/>
  <cols>
    <col min="1" max="1" width="31.42578125" bestFit="1" customWidth="1"/>
    <col min="2" max="2" width="21.7109375" customWidth="1"/>
    <col min="3" max="3" width="21" customWidth="1"/>
    <col min="4" max="4" width="21.28515625" customWidth="1"/>
    <col min="5" max="5" width="20.85546875" customWidth="1"/>
    <col min="6" max="247" width="11.42578125" customWidth="1"/>
  </cols>
  <sheetData>
    <row r="1" spans="1:5" ht="16.5" thickBot="1">
      <c r="A1" s="32"/>
      <c r="B1" s="57" t="s">
        <v>21</v>
      </c>
      <c r="C1" s="57"/>
      <c r="D1" s="57"/>
      <c r="E1" s="58"/>
    </row>
    <row r="2" spans="1:5" ht="16.5" thickBot="1">
      <c r="A2" s="12"/>
      <c r="B2" s="53" t="s">
        <v>1</v>
      </c>
      <c r="C2" s="54"/>
      <c r="D2" s="54"/>
      <c r="E2" s="55"/>
    </row>
    <row r="3" spans="1:5" ht="13.5" thickBot="1">
      <c r="A3" s="13" t="s">
        <v>2</v>
      </c>
      <c r="B3" s="9" t="s">
        <v>3</v>
      </c>
      <c r="C3" s="10" t="s">
        <v>4</v>
      </c>
      <c r="D3" s="10" t="s">
        <v>5</v>
      </c>
      <c r="E3" s="11" t="s">
        <v>6</v>
      </c>
    </row>
    <row r="4" spans="1:5">
      <c r="A4" s="8"/>
      <c r="B4" s="8"/>
      <c r="C4" s="29"/>
      <c r="D4" s="8"/>
      <c r="E4" s="31"/>
    </row>
    <row r="5" spans="1:5">
      <c r="A5" s="5" t="s">
        <v>7</v>
      </c>
      <c r="B5" s="6">
        <f>+B21</f>
        <v>36573309524.120003</v>
      </c>
      <c r="C5" s="6">
        <f>+C21</f>
        <v>78611482637.270004</v>
      </c>
      <c r="D5" s="6">
        <f>+D21</f>
        <v>120214674317.38</v>
      </c>
      <c r="E5" s="6">
        <f>+E21</f>
        <v>183540289690.36002</v>
      </c>
    </row>
    <row r="6" spans="1:5">
      <c r="A6" s="5" t="s">
        <v>8</v>
      </c>
      <c r="B6" s="6">
        <f>+B34</f>
        <v>131430099904.12</v>
      </c>
      <c r="C6" s="6">
        <f>+C34</f>
        <v>132812189057.12</v>
      </c>
      <c r="D6" s="6">
        <f>+D34</f>
        <v>141797441237.14999</v>
      </c>
      <c r="E6" s="6">
        <f>+E34</f>
        <v>184673714797.91</v>
      </c>
    </row>
    <row r="7" spans="1:5">
      <c r="A7" s="4"/>
      <c r="B7" s="35">
        <f>SUM(B5/B6)</f>
        <v>0.2782719449410806</v>
      </c>
      <c r="C7" s="35">
        <f>SUM(C5/C6)</f>
        <v>0.59189960797544494</v>
      </c>
      <c r="D7" s="35">
        <f>SUM(D5/D6)</f>
        <v>0.84779156286978574</v>
      </c>
      <c r="E7" s="35">
        <f>SUM(E5/E6)</f>
        <v>0.99386255315874106</v>
      </c>
    </row>
    <row r="8" spans="1:5" ht="13.5" thickBot="1">
      <c r="E8" s="34"/>
    </row>
    <row r="9" spans="1:5" ht="13.5" thickBot="1">
      <c r="B9" s="9" t="s">
        <v>3</v>
      </c>
      <c r="C9" s="10" t="s">
        <v>4</v>
      </c>
      <c r="D9" s="10" t="s">
        <v>5</v>
      </c>
      <c r="E9" s="33" t="s">
        <v>6</v>
      </c>
    </row>
    <row r="10" spans="1:5">
      <c r="A10" s="17" t="s">
        <v>9</v>
      </c>
    </row>
    <row r="11" spans="1:5">
      <c r="A11" s="15" t="s">
        <v>10</v>
      </c>
    </row>
    <row r="12" spans="1:5">
      <c r="A12" t="s">
        <v>11</v>
      </c>
      <c r="B12" s="19">
        <v>1337480658</v>
      </c>
      <c r="C12" s="21">
        <f>3019005216.12</f>
        <v>3019005216.1199999</v>
      </c>
      <c r="D12" s="24">
        <v>4629685513.1199999</v>
      </c>
      <c r="E12" s="25">
        <v>7111751118.2299995</v>
      </c>
    </row>
    <row r="13" spans="1:5">
      <c r="A13" t="s">
        <v>12</v>
      </c>
      <c r="B13" s="19">
        <f>261588229.8+1182017316.32</f>
        <v>1443605546.1199999</v>
      </c>
      <c r="C13" s="19">
        <f>399474901.83+1182017316.32</f>
        <v>1581492218.1499999</v>
      </c>
      <c r="D13" s="20">
        <f>1515474901.83+1182017316.32</f>
        <v>2697492218.1499996</v>
      </c>
      <c r="E13" s="20">
        <f>1896811201.83+1182017316.32</f>
        <v>3078828518.1499996</v>
      </c>
    </row>
    <row r="14" spans="1:5">
      <c r="B14" s="19"/>
      <c r="C14" s="19"/>
      <c r="D14" s="19"/>
      <c r="E14" s="19"/>
    </row>
    <row r="15" spans="1:5">
      <c r="A15" s="16" t="s">
        <v>13</v>
      </c>
      <c r="B15" s="19"/>
      <c r="C15" s="19"/>
      <c r="D15" s="19"/>
      <c r="E15" s="19"/>
    </row>
    <row r="16" spans="1:5">
      <c r="A16" s="14" t="s">
        <v>11</v>
      </c>
      <c r="B16" s="19">
        <f>33417582131+71242641</f>
        <v>33488824772</v>
      </c>
      <c r="C16" s="20">
        <f>73219189538+91285018</f>
        <v>73310474556</v>
      </c>
      <c r="D16" s="23">
        <f>111361923386.11+160834913</f>
        <v>111522758299.11</v>
      </c>
      <c r="E16" s="26">
        <f>170182012267.98+432508227</f>
        <v>170614520494.98001</v>
      </c>
    </row>
    <row r="17" spans="1:5">
      <c r="A17" s="14"/>
      <c r="B17" s="19"/>
      <c r="C17" s="20"/>
      <c r="D17" s="23"/>
      <c r="E17" s="26"/>
    </row>
    <row r="18" spans="1:5">
      <c r="A18" s="16" t="s">
        <v>22</v>
      </c>
      <c r="B18" s="19"/>
      <c r="C18" s="20"/>
      <c r="D18" s="23"/>
      <c r="E18" s="26"/>
    </row>
    <row r="19" spans="1:5">
      <c r="A19" s="14" t="s">
        <v>11</v>
      </c>
      <c r="B19" s="19">
        <f>236301232+67097316</f>
        <v>303398548</v>
      </c>
      <c r="C19" s="19">
        <f>633413331+67097316</f>
        <v>700510647</v>
      </c>
      <c r="D19" s="19">
        <f>1297640971+67097316</f>
        <v>1364738287</v>
      </c>
      <c r="E19" s="19">
        <f>2668092243+67097316</f>
        <v>2735189559</v>
      </c>
    </row>
    <row r="20" spans="1:5">
      <c r="A20" s="14"/>
      <c r="B20" s="19"/>
      <c r="C20" s="19"/>
      <c r="D20" s="19"/>
      <c r="E20" s="19"/>
    </row>
    <row r="21" spans="1:5">
      <c r="A21" s="18" t="s">
        <v>14</v>
      </c>
      <c r="B21" s="19">
        <f>+B12+B13+B16+B19</f>
        <v>36573309524.120003</v>
      </c>
      <c r="C21" s="19">
        <f t="shared" ref="C21:E21" si="0">+C12+C13+C16+C19</f>
        <v>78611482637.270004</v>
      </c>
      <c r="D21" s="19">
        <f t="shared" si="0"/>
        <v>120214674317.38</v>
      </c>
      <c r="E21" s="19">
        <f t="shared" si="0"/>
        <v>183540289690.36002</v>
      </c>
    </row>
    <row r="22" spans="1:5">
      <c r="B22" s="19"/>
      <c r="C22" s="19"/>
      <c r="D22" s="19"/>
      <c r="E22" s="19"/>
    </row>
    <row r="23" spans="1:5">
      <c r="A23" s="17" t="s">
        <v>15</v>
      </c>
      <c r="B23" s="19"/>
      <c r="C23" s="19"/>
      <c r="D23" s="19"/>
      <c r="E23" s="19"/>
    </row>
    <row r="24" spans="1:5">
      <c r="A24" s="16" t="s">
        <v>10</v>
      </c>
      <c r="B24" s="19"/>
      <c r="C24" s="19"/>
      <c r="D24" s="19"/>
      <c r="E24" s="19"/>
    </row>
    <row r="25" spans="1:5">
      <c r="A25" s="14" t="s">
        <v>11</v>
      </c>
      <c r="B25" s="19">
        <v>5365609092</v>
      </c>
      <c r="C25" s="20">
        <v>5402609092</v>
      </c>
      <c r="D25" s="21">
        <v>6208409714</v>
      </c>
      <c r="E25" s="21">
        <v>7205345906</v>
      </c>
    </row>
    <row r="26" spans="1:5">
      <c r="A26" s="14" t="s">
        <v>12</v>
      </c>
      <c r="B26" s="20">
        <f>1935430359.8+1182017316.32</f>
        <v>3117447676.1199999</v>
      </c>
      <c r="C26" s="20">
        <f>1935430359.8+1182017316.32</f>
        <v>3117447676.1199999</v>
      </c>
      <c r="D26" s="21">
        <f>1899073031.83+1182017316.32</f>
        <v>3081090348.1499996</v>
      </c>
      <c r="E26" s="21">
        <f>1896811684.83+1182017316.32</f>
        <v>3078829001.1499996</v>
      </c>
    </row>
    <row r="27" spans="1:5">
      <c r="B27" s="19"/>
      <c r="C27" s="19"/>
      <c r="D27" s="19"/>
      <c r="E27" s="19"/>
    </row>
    <row r="28" spans="1:5">
      <c r="A28" s="16" t="s">
        <v>13</v>
      </c>
      <c r="B28" s="19"/>
      <c r="C28" s="19"/>
      <c r="D28" s="19"/>
      <c r="E28" s="19"/>
    </row>
    <row r="29" spans="1:5">
      <c r="A29" s="14" t="s">
        <v>11</v>
      </c>
      <c r="B29" s="19">
        <f>121336743521+128840280</f>
        <v>121465583801</v>
      </c>
      <c r="C29" s="20">
        <f>122631832674+128840280</f>
        <v>122760672954</v>
      </c>
      <c r="D29" s="21">
        <f>129613300926+439764583</f>
        <v>130053065509</v>
      </c>
      <c r="E29" s="21">
        <f>171078554750.76+451163676</f>
        <v>171529718426.76001</v>
      </c>
    </row>
    <row r="30" spans="1:5">
      <c r="B30" s="19"/>
      <c r="C30" s="19"/>
      <c r="D30" s="19"/>
      <c r="E30" s="19"/>
    </row>
    <row r="31" spans="1:5">
      <c r="A31" s="16" t="s">
        <v>22</v>
      </c>
      <c r="B31" s="19"/>
      <c r="C31" s="19"/>
      <c r="D31" s="19"/>
      <c r="E31" s="19"/>
    </row>
    <row r="32" spans="1:5">
      <c r="A32" s="14" t="s">
        <v>11</v>
      </c>
      <c r="B32" s="19">
        <f>1414362019+67097316</f>
        <v>1481459335</v>
      </c>
      <c r="C32" s="19">
        <f>1464362019+67097316</f>
        <v>1531459335</v>
      </c>
      <c r="D32" s="19">
        <f>2387778350+67097316</f>
        <v>2454875666</v>
      </c>
      <c r="E32" s="19">
        <f>2792724148+67097316</f>
        <v>2859821464</v>
      </c>
    </row>
    <row r="33" spans="1:5">
      <c r="B33" s="19"/>
      <c r="C33" s="19"/>
      <c r="D33" s="19"/>
      <c r="E33" s="19"/>
    </row>
    <row r="34" spans="1:5">
      <c r="A34" s="18" t="s">
        <v>16</v>
      </c>
      <c r="B34" s="19">
        <f>+B25+B26+B29+B32</f>
        <v>131430099904.12</v>
      </c>
      <c r="C34" s="19">
        <f t="shared" ref="C34:E34" si="1">+C25+C26+C29+C32</f>
        <v>132812189057.12</v>
      </c>
      <c r="D34" s="19">
        <f t="shared" si="1"/>
        <v>141797441237.14999</v>
      </c>
      <c r="E34" s="19">
        <f t="shared" si="1"/>
        <v>184673714797.91</v>
      </c>
    </row>
  </sheetData>
  <mergeCells count="2">
    <mergeCell ref="B1:E1"/>
    <mergeCell ref="B2:E2"/>
  </mergeCells>
  <printOptions horizontalCentered="1" verticalCentered="1"/>
  <pageMargins left="1.6929133858267718" right="0.70866141732283472" top="1.7322834645669292" bottom="0.74803149606299213" header="0.31496062992125984" footer="0.31496062992125984"/>
  <pageSetup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8315C-0B3A-451C-B4F9-9C39FCC698A2}">
  <dimension ref="A1:E34"/>
  <sheetViews>
    <sheetView zoomScale="110" zoomScaleNormal="110" workbookViewId="0">
      <pane xSplit="1" ySplit="9" topLeftCell="B10" activePane="bottomRight" state="frozen"/>
      <selection pane="bottomRight" activeCell="G14" sqref="G14"/>
      <selection pane="bottomLeft" activeCell="A16" sqref="A16"/>
      <selection pane="topRight" activeCell="B1" sqref="B1"/>
    </sheetView>
  </sheetViews>
  <sheetFormatPr defaultColWidth="9.140625" defaultRowHeight="12.75"/>
  <cols>
    <col min="1" max="1" width="31.42578125" bestFit="1" customWidth="1"/>
    <col min="2" max="2" width="21.7109375" customWidth="1"/>
    <col min="3" max="3" width="21" hidden="1" customWidth="1"/>
    <col min="4" max="4" width="21.28515625" hidden="1" customWidth="1"/>
    <col min="5" max="5" width="20.85546875" hidden="1" customWidth="1"/>
    <col min="6" max="246" width="11.42578125" customWidth="1"/>
  </cols>
  <sheetData>
    <row r="1" spans="1:5" ht="16.5" thickBot="1">
      <c r="A1" s="32"/>
      <c r="B1" s="57" t="s">
        <v>23</v>
      </c>
      <c r="C1" s="57"/>
      <c r="D1" s="57"/>
      <c r="E1" s="58"/>
    </row>
    <row r="2" spans="1:5" ht="16.5" thickBot="1">
      <c r="A2" s="12"/>
      <c r="B2" s="53" t="s">
        <v>1</v>
      </c>
      <c r="C2" s="54"/>
      <c r="D2" s="54"/>
      <c r="E2" s="55"/>
    </row>
    <row r="3" spans="1:5" ht="13.5" thickBot="1">
      <c r="A3" s="13" t="s">
        <v>2</v>
      </c>
      <c r="B3" s="9" t="s">
        <v>3</v>
      </c>
      <c r="C3" s="10" t="s">
        <v>4</v>
      </c>
      <c r="D3" s="10" t="s">
        <v>5</v>
      </c>
      <c r="E3" s="11" t="s">
        <v>6</v>
      </c>
    </row>
    <row r="4" spans="1:5">
      <c r="A4" s="8"/>
      <c r="B4" s="8"/>
      <c r="C4" s="29"/>
      <c r="D4" s="8"/>
      <c r="E4" s="31"/>
    </row>
    <row r="5" spans="1:5">
      <c r="A5" s="5" t="s">
        <v>7</v>
      </c>
      <c r="B5" s="6">
        <f>+B21</f>
        <v>38103811414.589996</v>
      </c>
      <c r="C5" s="6">
        <f>+C21</f>
        <v>0</v>
      </c>
      <c r="D5" s="6">
        <f>+D21</f>
        <v>0</v>
      </c>
      <c r="E5" s="6">
        <f>+E21</f>
        <v>0</v>
      </c>
    </row>
    <row r="6" spans="1:5">
      <c r="A6" s="5" t="s">
        <v>8</v>
      </c>
      <c r="B6" s="6">
        <f>+B34</f>
        <v>181375387513</v>
      </c>
      <c r="C6" s="6">
        <f>+C34</f>
        <v>0</v>
      </c>
      <c r="D6" s="6">
        <f>+D34</f>
        <v>0</v>
      </c>
      <c r="E6" s="6">
        <f>+E34</f>
        <v>0</v>
      </c>
    </row>
    <row r="7" spans="1:5">
      <c r="A7" s="4"/>
      <c r="B7" s="35">
        <f>SUM(B5/B6)</f>
        <v>0.21008259134310009</v>
      </c>
      <c r="C7" s="35" t="e">
        <f>SUM(C5/C6)</f>
        <v>#DIV/0!</v>
      </c>
      <c r="D7" s="35" t="e">
        <f>SUM(D5/D6)</f>
        <v>#DIV/0!</v>
      </c>
      <c r="E7" s="35" t="e">
        <f>SUM(E5/E6)</f>
        <v>#DIV/0!</v>
      </c>
    </row>
    <row r="8" spans="1:5" ht="13.5" thickBot="1">
      <c r="E8" s="34"/>
    </row>
    <row r="9" spans="1:5" ht="13.5" thickBot="1">
      <c r="B9" s="9" t="s">
        <v>3</v>
      </c>
      <c r="C9" s="10" t="s">
        <v>4</v>
      </c>
      <c r="D9" s="10" t="s">
        <v>5</v>
      </c>
      <c r="E9" s="33" t="s">
        <v>6</v>
      </c>
    </row>
    <row r="10" spans="1:5">
      <c r="A10" s="17" t="s">
        <v>9</v>
      </c>
    </row>
    <row r="11" spans="1:5">
      <c r="A11" s="15" t="s">
        <v>10</v>
      </c>
    </row>
    <row r="12" spans="1:5">
      <c r="A12" t="s">
        <v>11</v>
      </c>
      <c r="B12" s="19">
        <v>2924442874</v>
      </c>
      <c r="C12" s="21"/>
      <c r="D12" s="24"/>
      <c r="E12" s="25"/>
    </row>
    <row r="13" spans="1:5">
      <c r="A13" t="s">
        <v>12</v>
      </c>
      <c r="B13" s="19">
        <v>39866667</v>
      </c>
      <c r="C13" s="19"/>
      <c r="D13" s="20"/>
      <c r="E13" s="20"/>
    </row>
    <row r="14" spans="1:5">
      <c r="B14" s="19"/>
      <c r="C14" s="19"/>
      <c r="D14" s="19"/>
      <c r="E14" s="19"/>
    </row>
    <row r="15" spans="1:5">
      <c r="A15" s="16" t="s">
        <v>13</v>
      </c>
      <c r="B15" s="19"/>
      <c r="C15" s="19"/>
      <c r="D15" s="19"/>
      <c r="E15" s="19"/>
    </row>
    <row r="16" spans="1:5">
      <c r="A16" s="14" t="s">
        <v>11</v>
      </c>
      <c r="B16" s="19">
        <v>34087936441.59</v>
      </c>
      <c r="C16" s="20"/>
      <c r="D16" s="23"/>
      <c r="E16" s="26"/>
    </row>
    <row r="17" spans="1:5">
      <c r="A17" s="14"/>
      <c r="B17" s="19"/>
      <c r="C17" s="20"/>
      <c r="D17" s="23"/>
      <c r="E17" s="26"/>
    </row>
    <row r="18" spans="1:5">
      <c r="A18" s="16" t="s">
        <v>22</v>
      </c>
      <c r="B18" s="19"/>
      <c r="C18" s="20"/>
      <c r="D18" s="23"/>
      <c r="E18" s="26"/>
    </row>
    <row r="19" spans="1:5">
      <c r="A19" s="14" t="s">
        <v>11</v>
      </c>
      <c r="B19" s="19">
        <v>1051565432</v>
      </c>
      <c r="C19" s="19"/>
      <c r="D19" s="19"/>
      <c r="E19" s="19"/>
    </row>
    <row r="20" spans="1:5">
      <c r="A20" s="14"/>
      <c r="B20" s="19"/>
      <c r="C20" s="19"/>
      <c r="D20" s="19"/>
      <c r="E20" s="19"/>
    </row>
    <row r="21" spans="1:5">
      <c r="A21" s="18" t="s">
        <v>14</v>
      </c>
      <c r="B21" s="19">
        <f>+B12+B13+B16+B19</f>
        <v>38103811414.589996</v>
      </c>
      <c r="C21" s="19">
        <f t="shared" ref="C21:E21" si="0">+C12+C13+C16+C19</f>
        <v>0</v>
      </c>
      <c r="D21" s="19">
        <f t="shared" si="0"/>
        <v>0</v>
      </c>
      <c r="E21" s="19">
        <f t="shared" si="0"/>
        <v>0</v>
      </c>
    </row>
    <row r="22" spans="1:5">
      <c r="B22" s="19"/>
      <c r="C22" s="19"/>
      <c r="D22" s="19"/>
      <c r="E22" s="19"/>
    </row>
    <row r="23" spans="1:5">
      <c r="A23" s="17" t="s">
        <v>15</v>
      </c>
      <c r="B23" s="19"/>
      <c r="C23" s="19"/>
      <c r="D23" s="19"/>
      <c r="E23" s="19"/>
    </row>
    <row r="24" spans="1:5">
      <c r="A24" s="16" t="s">
        <v>10</v>
      </c>
      <c r="B24" s="19"/>
      <c r="C24" s="19"/>
      <c r="D24" s="19"/>
      <c r="E24" s="19"/>
    </row>
    <row r="25" spans="1:5">
      <c r="A25" s="14" t="s">
        <v>11</v>
      </c>
      <c r="B25" s="19">
        <v>7193604620</v>
      </c>
      <c r="C25" s="20"/>
      <c r="D25" s="21"/>
      <c r="E25" s="21"/>
    </row>
    <row r="26" spans="1:5">
      <c r="A26" s="14" t="s">
        <v>12</v>
      </c>
      <c r="B26" s="20">
        <v>1896960439</v>
      </c>
      <c r="C26" s="20"/>
      <c r="D26" s="21"/>
      <c r="E26" s="21"/>
    </row>
    <row r="27" spans="1:5">
      <c r="B27" s="19"/>
      <c r="C27" s="19"/>
      <c r="D27" s="19"/>
      <c r="E27" s="19"/>
    </row>
    <row r="28" spans="1:5">
      <c r="A28" s="16" t="s">
        <v>13</v>
      </c>
      <c r="B28" s="19"/>
      <c r="C28" s="19"/>
      <c r="D28" s="19"/>
      <c r="E28" s="19"/>
    </row>
    <row r="29" spans="1:5">
      <c r="A29" s="14" t="s">
        <v>11</v>
      </c>
      <c r="B29" s="19">
        <f>168371142759+679673893</f>
        <v>169050816652</v>
      </c>
      <c r="C29" s="20"/>
      <c r="D29" s="21"/>
      <c r="E29" s="21"/>
    </row>
    <row r="30" spans="1:5">
      <c r="B30" s="19"/>
      <c r="C30" s="19"/>
      <c r="D30" s="19"/>
      <c r="E30" s="19"/>
    </row>
    <row r="31" spans="1:5">
      <c r="A31" s="16" t="s">
        <v>22</v>
      </c>
      <c r="B31" s="19"/>
      <c r="C31" s="19"/>
      <c r="D31" s="19"/>
      <c r="E31" s="19"/>
    </row>
    <row r="32" spans="1:5">
      <c r="A32" s="14" t="s">
        <v>11</v>
      </c>
      <c r="B32" s="19">
        <v>3234005802</v>
      </c>
      <c r="C32" s="19"/>
      <c r="D32" s="19"/>
      <c r="E32" s="19"/>
    </row>
    <row r="33" spans="1:5">
      <c r="B33" s="19"/>
      <c r="C33" s="19"/>
      <c r="D33" s="19"/>
      <c r="E33" s="19"/>
    </row>
    <row r="34" spans="1:5">
      <c r="A34" s="18" t="s">
        <v>16</v>
      </c>
      <c r="B34" s="19">
        <f>+B25+B26+B29+B32</f>
        <v>181375387513</v>
      </c>
      <c r="C34" s="19">
        <f t="shared" ref="C34:E34" si="1">+C25+C26+C29+C32</f>
        <v>0</v>
      </c>
      <c r="D34" s="19">
        <f t="shared" si="1"/>
        <v>0</v>
      </c>
      <c r="E34" s="19">
        <f t="shared" si="1"/>
        <v>0</v>
      </c>
    </row>
  </sheetData>
  <mergeCells count="2">
    <mergeCell ref="B1:E1"/>
    <mergeCell ref="B2:E2"/>
  </mergeCells>
  <printOptions horizontalCentered="1" verticalCentered="1"/>
  <pageMargins left="1.6929133858267718" right="0.70866141732283472" top="1.7322834645669292" bottom="0.74803149606299213" header="0.31496062992125984" footer="0.31496062992125984"/>
  <pageSetup orientation="landscape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497C6-3987-4ADB-AE17-76A6500E2A64}">
  <dimension ref="A1:K34"/>
  <sheetViews>
    <sheetView tabSelected="1" zoomScale="110" zoomScaleNormal="110" workbookViewId="0">
      <pane xSplit="1" ySplit="9" topLeftCell="B10" activePane="bottomRight" state="frozen"/>
      <selection pane="bottomRight" activeCell="G28" sqref="G28"/>
      <selection pane="bottomLeft" activeCell="A16" sqref="A16"/>
      <selection pane="topRight" activeCell="B1" sqref="B1"/>
    </sheetView>
  </sheetViews>
  <sheetFormatPr defaultColWidth="9.140625" defaultRowHeight="12.75"/>
  <cols>
    <col min="1" max="1" width="31.42578125" bestFit="1" customWidth="1"/>
    <col min="2" max="2" width="21.7109375" customWidth="1"/>
    <col min="3" max="3" width="21" customWidth="1"/>
    <col min="4" max="4" width="21.28515625" hidden="1" customWidth="1"/>
    <col min="5" max="5" width="20.85546875" hidden="1" customWidth="1"/>
    <col min="6" max="6" width="25.42578125" customWidth="1"/>
    <col min="7" max="7" width="38.5703125" customWidth="1"/>
    <col min="8" max="8" width="20.28515625" customWidth="1"/>
    <col min="9" max="9" width="20.7109375" customWidth="1"/>
    <col min="10" max="10" width="19.42578125" customWidth="1"/>
    <col min="11" max="11" width="20.5703125" customWidth="1"/>
    <col min="12" max="246" width="11.42578125" customWidth="1"/>
  </cols>
  <sheetData>
    <row r="1" spans="1:11" ht="16.5" thickBot="1">
      <c r="A1" s="32"/>
      <c r="B1" s="57" t="s">
        <v>24</v>
      </c>
      <c r="C1" s="57"/>
      <c r="D1" s="57"/>
      <c r="E1" s="58"/>
      <c r="G1" s="13" t="s">
        <v>24</v>
      </c>
      <c r="H1" s="47" t="s">
        <v>25</v>
      </c>
    </row>
    <row r="2" spans="1:11" ht="16.5" thickBot="1">
      <c r="A2" s="12"/>
      <c r="B2" s="53" t="s">
        <v>1</v>
      </c>
      <c r="C2" s="54"/>
      <c r="D2" s="54"/>
      <c r="E2" s="55"/>
      <c r="G2" s="37" t="s">
        <v>26</v>
      </c>
    </row>
    <row r="3" spans="1:11" ht="13.5" thickBot="1">
      <c r="A3" s="13" t="s">
        <v>2</v>
      </c>
      <c r="B3" s="9" t="s">
        <v>3</v>
      </c>
      <c r="C3" s="10" t="s">
        <v>4</v>
      </c>
      <c r="D3" s="10" t="s">
        <v>5</v>
      </c>
      <c r="E3" s="11" t="s">
        <v>6</v>
      </c>
      <c r="H3" s="38" t="s">
        <v>27</v>
      </c>
      <c r="I3" s="38" t="s">
        <v>28</v>
      </c>
      <c r="J3" s="38" t="s">
        <v>29</v>
      </c>
      <c r="K3" s="38" t="s">
        <v>30</v>
      </c>
    </row>
    <row r="4" spans="1:11">
      <c r="A4" s="8"/>
      <c r="B4" s="8"/>
      <c r="C4" s="29"/>
      <c r="D4" s="8"/>
      <c r="E4" s="31"/>
      <c r="G4" s="39" t="s">
        <v>7</v>
      </c>
      <c r="H4" s="40">
        <v>7339703662.7700005</v>
      </c>
      <c r="I4" s="40">
        <v>94092016980.589996</v>
      </c>
      <c r="J4" s="40">
        <v>3372046062</v>
      </c>
      <c r="K4" s="40">
        <f>SUM(H4:J4)</f>
        <v>104803766705.36</v>
      </c>
    </row>
    <row r="5" spans="1:11">
      <c r="A5" s="5" t="s">
        <v>7</v>
      </c>
      <c r="B5" s="6">
        <f>+B21</f>
        <v>47386744353.199997</v>
      </c>
      <c r="C5" s="6">
        <f>+C21</f>
        <v>105174518848.36</v>
      </c>
      <c r="D5" s="6">
        <f>+D21</f>
        <v>0</v>
      </c>
      <c r="E5" s="6">
        <f>+E21</f>
        <v>0</v>
      </c>
      <c r="G5" s="39"/>
      <c r="H5" s="40"/>
      <c r="I5" s="40"/>
      <c r="J5" s="40"/>
      <c r="K5" s="40"/>
    </row>
    <row r="6" spans="1:11">
      <c r="A6" s="5" t="s">
        <v>8</v>
      </c>
      <c r="B6" s="6">
        <f>+B34</f>
        <v>160628828088</v>
      </c>
      <c r="C6" s="6">
        <f>+C34</f>
        <v>170366509623</v>
      </c>
      <c r="D6" s="6">
        <f>+D34</f>
        <v>0</v>
      </c>
      <c r="E6" s="6">
        <f>+E34</f>
        <v>0</v>
      </c>
      <c r="G6" s="39" t="s">
        <v>8</v>
      </c>
      <c r="H6" s="40">
        <v>10360454212</v>
      </c>
      <c r="I6" s="40">
        <v>145285724907</v>
      </c>
      <c r="J6" s="40">
        <v>4534051948</v>
      </c>
      <c r="K6" s="40">
        <f>SUM(H6:J6)</f>
        <v>160180231067</v>
      </c>
    </row>
    <row r="7" spans="1:11">
      <c r="A7" s="4"/>
      <c r="B7" s="35">
        <f>SUM(B5/B6)</f>
        <v>0.29500772007898429</v>
      </c>
      <c r="C7" s="35">
        <f>SUM(C5/C6)</f>
        <v>0.61734268713433282</v>
      </c>
      <c r="D7" s="35" t="e">
        <f>SUM(D5/D6)</f>
        <v>#DIV/0!</v>
      </c>
      <c r="E7" s="35" t="e">
        <f>SUM(E5/E6)</f>
        <v>#DIV/0!</v>
      </c>
      <c r="H7" s="41"/>
      <c r="I7" s="41"/>
      <c r="J7" s="41"/>
      <c r="K7" s="41"/>
    </row>
    <row r="8" spans="1:11" ht="13.5" thickBot="1">
      <c r="E8" s="34"/>
      <c r="G8" s="4" t="s">
        <v>31</v>
      </c>
      <c r="H8" s="42">
        <f>H4/H6</f>
        <v>0.70843454471993961</v>
      </c>
      <c r="I8" s="42">
        <f t="shared" ref="I8:J8" si="0">I4/I6</f>
        <v>0.64763428782022447</v>
      </c>
      <c r="J8" s="42">
        <f t="shared" si="0"/>
        <v>0.74371579784996322</v>
      </c>
      <c r="K8" s="42">
        <f>K4/K6</f>
        <v>0.65428652466809589</v>
      </c>
    </row>
    <row r="9" spans="1:11" ht="13.5" thickBot="1">
      <c r="B9" s="9" t="s">
        <v>3</v>
      </c>
      <c r="C9" s="10" t="s">
        <v>4</v>
      </c>
      <c r="D9" s="10" t="s">
        <v>5</v>
      </c>
      <c r="E9" s="33" t="s">
        <v>6</v>
      </c>
    </row>
    <row r="10" spans="1:11">
      <c r="A10" s="17" t="s">
        <v>9</v>
      </c>
    </row>
    <row r="11" spans="1:11">
      <c r="A11" s="15" t="s">
        <v>10</v>
      </c>
    </row>
    <row r="12" spans="1:11" ht="13.5" thickBot="1">
      <c r="A12" t="s">
        <v>11</v>
      </c>
      <c r="B12" s="19">
        <v>4952132076</v>
      </c>
      <c r="C12" s="21">
        <f>7333048532.77+6655130</f>
        <v>7339703662.7700005</v>
      </c>
      <c r="D12" s="24"/>
      <c r="E12" s="25"/>
    </row>
    <row r="13" spans="1:11" ht="13.5" thickBot="1">
      <c r="A13" t="s">
        <v>12</v>
      </c>
      <c r="B13" s="19">
        <f>20000000+24840000</f>
        <v>44840000</v>
      </c>
      <c r="C13" s="19">
        <f>304095143+66657000</f>
        <v>370752143</v>
      </c>
      <c r="D13" s="20"/>
      <c r="E13" s="20"/>
      <c r="G13" s="43" t="s">
        <v>32</v>
      </c>
      <c r="H13" s="41"/>
    </row>
    <row r="14" spans="1:11">
      <c r="B14" s="19"/>
      <c r="C14" s="19"/>
      <c r="D14" s="19"/>
      <c r="E14" s="19"/>
      <c r="H14" s="44" t="s">
        <v>27</v>
      </c>
      <c r="I14" s="45"/>
      <c r="J14" s="46" t="s">
        <v>33</v>
      </c>
    </row>
    <row r="15" spans="1:11">
      <c r="A15" s="16" t="s">
        <v>13</v>
      </c>
      <c r="B15" s="19"/>
      <c r="C15" s="19"/>
      <c r="D15" s="19"/>
      <c r="E15" s="19"/>
      <c r="G15" s="4" t="s">
        <v>7</v>
      </c>
      <c r="H15" s="40">
        <v>370752143</v>
      </c>
      <c r="I15" s="4"/>
      <c r="J15" s="40">
        <f>E15+H15</f>
        <v>370752143</v>
      </c>
    </row>
    <row r="16" spans="1:11">
      <c r="A16" s="14" t="s">
        <v>11</v>
      </c>
      <c r="B16" s="19">
        <v>40208593744.199997</v>
      </c>
      <c r="C16" s="20">
        <v>94092016980.589996</v>
      </c>
      <c r="D16" s="23"/>
      <c r="E16" s="26"/>
      <c r="G16" s="4"/>
      <c r="H16" s="40"/>
      <c r="I16" s="4"/>
      <c r="J16" s="40"/>
    </row>
    <row r="17" spans="1:11">
      <c r="A17" s="14"/>
      <c r="B17" s="19"/>
      <c r="C17" s="20"/>
      <c r="D17" s="23"/>
      <c r="E17" s="26"/>
      <c r="G17" s="4" t="s">
        <v>8</v>
      </c>
      <c r="H17" s="40">
        <v>10186278556</v>
      </c>
      <c r="I17" s="4"/>
      <c r="J17" s="40">
        <f>E17+H17</f>
        <v>10186278556</v>
      </c>
    </row>
    <row r="18" spans="1:11">
      <c r="A18" s="16" t="s">
        <v>22</v>
      </c>
      <c r="B18" s="19"/>
      <c r="C18" s="20"/>
      <c r="D18" s="23"/>
      <c r="E18" s="26"/>
      <c r="J18" s="41"/>
    </row>
    <row r="19" spans="1:11">
      <c r="A19" s="14" t="s">
        <v>11</v>
      </c>
      <c r="B19" s="19">
        <v>2181178533</v>
      </c>
      <c r="C19" s="19">
        <v>3372046062</v>
      </c>
      <c r="D19" s="19"/>
      <c r="E19" s="19"/>
      <c r="G19" s="4" t="s">
        <v>31</v>
      </c>
      <c r="H19" s="42">
        <f>H15/H17</f>
        <v>3.6397212285306763E-2</v>
      </c>
      <c r="I19" s="42"/>
      <c r="J19" s="42">
        <f>J15/J17</f>
        <v>3.6397212285306763E-2</v>
      </c>
    </row>
    <row r="20" spans="1:11">
      <c r="A20" s="14"/>
      <c r="B20" s="19"/>
      <c r="C20" s="19"/>
      <c r="D20" s="19"/>
      <c r="E20" s="19"/>
    </row>
    <row r="21" spans="1:11" ht="13.5" thickBot="1">
      <c r="A21" s="18" t="s">
        <v>14</v>
      </c>
      <c r="B21" s="19">
        <f>+B12+B13+B16+B19</f>
        <v>47386744353.199997</v>
      </c>
      <c r="C21" s="19">
        <f t="shared" ref="C21:E21" si="1">+C12+C13+C16+C19</f>
        <v>105174518848.36</v>
      </c>
      <c r="D21" s="19">
        <f t="shared" si="1"/>
        <v>0</v>
      </c>
      <c r="E21" s="19">
        <f t="shared" si="1"/>
        <v>0</v>
      </c>
    </row>
    <row r="22" spans="1:11" ht="13.5" thickBot="1">
      <c r="B22" s="19"/>
      <c r="C22" s="19"/>
      <c r="D22" s="19"/>
      <c r="E22" s="19"/>
      <c r="G22" s="43" t="s">
        <v>34</v>
      </c>
    </row>
    <row r="23" spans="1:11">
      <c r="A23" s="17" t="s">
        <v>15</v>
      </c>
      <c r="B23" s="19"/>
      <c r="C23" s="19"/>
      <c r="D23" s="19"/>
      <c r="E23" s="19"/>
      <c r="H23" s="38" t="s">
        <v>27</v>
      </c>
      <c r="I23" s="38" t="s">
        <v>28</v>
      </c>
      <c r="J23" s="38" t="s">
        <v>29</v>
      </c>
      <c r="K23" s="38" t="s">
        <v>30</v>
      </c>
    </row>
    <row r="24" spans="1:11">
      <c r="A24" s="16" t="s">
        <v>10</v>
      </c>
      <c r="B24" s="19"/>
      <c r="C24" s="19"/>
      <c r="D24" s="19"/>
      <c r="E24" s="19"/>
      <c r="G24" s="39" t="s">
        <v>7</v>
      </c>
      <c r="H24" s="40">
        <f>H4+H15</f>
        <v>7710455805.7700005</v>
      </c>
      <c r="I24" s="40">
        <v>94092016980.589996</v>
      </c>
      <c r="J24" s="40">
        <v>3372046062</v>
      </c>
      <c r="K24" s="40">
        <f>SUM(H24:J24)</f>
        <v>105174518848.36</v>
      </c>
    </row>
    <row r="25" spans="1:11">
      <c r="A25" s="14" t="s">
        <v>11</v>
      </c>
      <c r="B25" s="19">
        <v>9162517073</v>
      </c>
      <c r="C25" s="20">
        <f>10260214222+100239990</f>
        <v>10360454212</v>
      </c>
      <c r="D25" s="21"/>
      <c r="E25" s="21"/>
      <c r="G25" s="39"/>
      <c r="H25" s="40"/>
      <c r="I25" s="40"/>
      <c r="J25" s="40"/>
      <c r="K25" s="40"/>
    </row>
    <row r="26" spans="1:11">
      <c r="A26" s="14" t="s">
        <v>12</v>
      </c>
      <c r="B26" s="20">
        <f>7960064000+656343130</f>
        <v>8616407130</v>
      </c>
      <c r="C26" s="20">
        <f>9225970725+960307831</f>
        <v>10186278556</v>
      </c>
      <c r="D26" s="21"/>
      <c r="E26" s="21"/>
      <c r="G26" s="39" t="s">
        <v>8</v>
      </c>
      <c r="H26" s="40">
        <f>H6+H17</f>
        <v>20546732768</v>
      </c>
      <c r="I26" s="40">
        <v>145285724907</v>
      </c>
      <c r="J26" s="40">
        <v>4534051948</v>
      </c>
      <c r="K26" s="40">
        <f>SUM(H26:J26)</f>
        <v>170366509623</v>
      </c>
    </row>
    <row r="27" spans="1:11">
      <c r="B27" s="19"/>
      <c r="C27" s="19"/>
      <c r="D27" s="19"/>
      <c r="E27" s="19"/>
      <c r="H27" s="41"/>
      <c r="I27" s="41"/>
      <c r="J27" s="41"/>
      <c r="K27" s="41"/>
    </row>
    <row r="28" spans="1:11">
      <c r="A28" s="16" t="s">
        <v>13</v>
      </c>
      <c r="B28" s="19"/>
      <c r="C28" s="19"/>
      <c r="D28" s="19"/>
      <c r="E28" s="19"/>
      <c r="G28" s="4" t="s">
        <v>31</v>
      </c>
      <c r="H28" s="42">
        <f>H24/H26</f>
        <v>0.37526432512805435</v>
      </c>
      <c r="I28" s="42">
        <f t="shared" ref="I28:J28" si="2">I24/I26</f>
        <v>0.64763428782022447</v>
      </c>
      <c r="J28" s="42">
        <f t="shared" si="2"/>
        <v>0.74371579784996322</v>
      </c>
      <c r="K28" s="42">
        <f>K24/K26</f>
        <v>0.61734268713433282</v>
      </c>
    </row>
    <row r="29" spans="1:11">
      <c r="A29" s="14" t="s">
        <v>11</v>
      </c>
      <c r="B29" s="19">
        <v>138687138839</v>
      </c>
      <c r="C29" s="20">
        <v>145285724907</v>
      </c>
      <c r="D29" s="21"/>
      <c r="E29" s="21"/>
    </row>
    <row r="30" spans="1:11">
      <c r="B30" s="19"/>
      <c r="C30" s="19"/>
      <c r="D30" s="19"/>
      <c r="E30" s="19"/>
    </row>
    <row r="31" spans="1:11">
      <c r="A31" s="16" t="s">
        <v>22</v>
      </c>
      <c r="B31" s="19"/>
      <c r="C31" s="19"/>
      <c r="D31" s="19"/>
      <c r="E31" s="19"/>
    </row>
    <row r="32" spans="1:11">
      <c r="A32" s="14" t="s">
        <v>11</v>
      </c>
      <c r="B32" s="19">
        <v>4162765046</v>
      </c>
      <c r="C32" s="19">
        <v>4534051948</v>
      </c>
      <c r="D32" s="19"/>
      <c r="E32" s="19"/>
    </row>
    <row r="33" spans="1:5">
      <c r="B33" s="19"/>
      <c r="C33" s="19"/>
      <c r="D33" s="19"/>
      <c r="E33" s="19"/>
    </row>
    <row r="34" spans="1:5">
      <c r="A34" s="18" t="s">
        <v>16</v>
      </c>
      <c r="B34" s="19">
        <f>+B25+B26+B29+B32</f>
        <v>160628828088</v>
      </c>
      <c r="C34" s="19">
        <f t="shared" ref="C34:E34" si="3">+C25+C26+C29+C32</f>
        <v>170366509623</v>
      </c>
      <c r="D34" s="19">
        <f t="shared" si="3"/>
        <v>0</v>
      </c>
      <c r="E34" s="19">
        <f t="shared" si="3"/>
        <v>0</v>
      </c>
    </row>
  </sheetData>
  <mergeCells count="2">
    <mergeCell ref="B1:E1"/>
    <mergeCell ref="B2:E2"/>
  </mergeCells>
  <printOptions horizontalCentered="1" verticalCentered="1"/>
  <pageMargins left="1.6929133858267718" right="0.70866141732283472" top="1.7322834645669292" bottom="0.74803149606299213" header="0.31496062992125984" footer="0.31496062992125984"/>
  <pageSetup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B4" sqref="B4"/>
    </sheetView>
  </sheetViews>
  <sheetFormatPr defaultColWidth="9.140625" defaultRowHeight="12.75"/>
  <cols>
    <col min="1" max="256" width="11.42578125" customWidth="1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227F972A283DF49B2FCFC14A41C2BE8" ma:contentTypeVersion="18" ma:contentTypeDescription="Crear nuevo documento." ma:contentTypeScope="" ma:versionID="415be644d9e877aa3a434edbb3cfc178">
  <xsd:schema xmlns:xsd="http://www.w3.org/2001/XMLSchema" xmlns:xs="http://www.w3.org/2001/XMLSchema" xmlns:p="http://schemas.microsoft.com/office/2006/metadata/properties" xmlns:ns2="073acb01-3677-47bc-9f74-3e3f9815da0f" xmlns:ns3="daaf9afd-fd36-408d-b218-652a4a0b0200" targetNamespace="http://schemas.microsoft.com/office/2006/metadata/properties" ma:root="true" ma:fieldsID="ec23d78583c65ef48a54315581a910eb" ns2:_="" ns3:_="">
    <xsd:import namespace="073acb01-3677-47bc-9f74-3e3f9815da0f"/>
    <xsd:import namespace="daaf9afd-fd36-408d-b218-652a4a0b02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3acb01-3677-47bc-9f74-3e3f9815da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9afd-fd36-408d-b218-652a4a0b02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ac5ad71-6e95-4234-9a80-b96029d140ac}" ma:internalName="TaxCatchAll" ma:showField="CatchAllData" ma:web="daaf9afd-fd36-408d-b218-652a4a0b02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3acb01-3677-47bc-9f74-3e3f9815da0f">
      <Terms xmlns="http://schemas.microsoft.com/office/infopath/2007/PartnerControls"/>
    </lcf76f155ced4ddcb4097134ff3c332f>
    <TaxCatchAll xmlns="daaf9afd-fd36-408d-b218-652a4a0b020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FA922A-457F-4AEC-A6E2-36714C539EFD}"/>
</file>

<file path=customXml/itemProps2.xml><?xml version="1.0" encoding="utf-8"?>
<ds:datastoreItem xmlns:ds="http://schemas.openxmlformats.org/officeDocument/2006/customXml" ds:itemID="{C76FD916-F00E-4FAF-A3FF-3386591BD5DB}"/>
</file>

<file path=customXml/itemProps3.xml><?xml version="1.0" encoding="utf-8"?>
<ds:datastoreItem xmlns:ds="http://schemas.openxmlformats.org/officeDocument/2006/customXml" ds:itemID="{126E06E6-6112-467B-AD49-FE2CCE7586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DIRECCION SECCIONAL DE ADMON JUDICIAL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CONSEJO SUPERIOR DE LA JUDICATURA</dc:creator>
  <cp:keywords/>
  <dc:description/>
  <cp:lastModifiedBy>Jose Guillermo Diaz Murcia</cp:lastModifiedBy>
  <cp:revision/>
  <dcterms:created xsi:type="dcterms:W3CDTF">2007-11-20T19:27:31Z</dcterms:created>
  <dcterms:modified xsi:type="dcterms:W3CDTF">2024-07-16T16:39:03Z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0x0101007227F972A283DF49B2FCFC14A41C2BE8</vt:lpwstr>
  </property>
  <property fmtid="{D5CDD505-2E9C-101B-9397-08002B2CF9AE}" pid="3" name="MediaServiceImageTags">
    <vt:lpwstr/>
  </property>
</Properties>
</file>